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minobaugmbh.sharepoint.com/teams/O-2024/Freigegebene Dokumente/Wastelbauerstraße 10, Obermenzing/Exposé-Werbung/Renditeberechnung/"/>
    </mc:Choice>
  </mc:AlternateContent>
  <xr:revisionPtr revIDLastSave="18" documentId="13_ncr:1_{6BCC48DB-1A95-4FB8-80DF-9A5CCB245D25}" xr6:coauthVersionLast="47" xr6:coauthVersionMax="47" xr10:uidLastSave="{D3A9400D-CA85-43A0-8484-F3955D720F06}"/>
  <bookViews>
    <workbookView xWindow="-108" yWindow="-108" windowWidth="30936" windowHeight="16896" xr2:uid="{80702A1B-1C23-4D0C-B702-A21F0DB97923}"/>
  </bookViews>
  <sheets>
    <sheet name="Übersicht" sheetId="4" r:id="rId1"/>
    <sheet name="Detail" sheetId="3" r:id="rId2"/>
    <sheet name="Mieterhöhung" sheetId="5" r:id="rId3"/>
    <sheet name="Kosten Mr. Lodge" sheetId="6" r:id="rId4"/>
    <sheet name="Kosten Einrichtung" sheetId="7" r:id="rId5"/>
  </sheets>
  <definedNames>
    <definedName name="Abschreibungsgrundlage">Übersicht!$G$26</definedName>
    <definedName name="Annuität_p.a.">Übersicht!$G$19</definedName>
    <definedName name="Bewirtschaftung_prozentual">Übersicht!$F$23</definedName>
    <definedName name="_xlnm.Print_Area" localSheetId="1">Detail!$A$1:$AC$33</definedName>
    <definedName name="_xlnm.Print_Area" localSheetId="0">Übersicht!$B$2:$P$60</definedName>
    <definedName name="Eigenkapital">Übersicht!$G$15</definedName>
    <definedName name="Fremdkapital">Übersicht!$G$16</definedName>
    <definedName name="Kaltmiete">Übersicht!$G$22</definedName>
    <definedName name="Kaufpreis">Übersicht!$G$9</definedName>
    <definedName name="persönlicher_Steuersatz">Übersicht!$F$30</definedName>
    <definedName name="Steigerung_Immobilienwert">Übersicht!$F$34</definedName>
    <definedName name="Steigerung_Miete">Übersicht!$F$33</definedName>
    <definedName name="Tilgung_p.a.">Übersicht!$F$18</definedName>
    <definedName name="Zins_p.a.">Übersicht!$F$17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G39" i="4" s="1"/>
  <c r="F40" i="4"/>
  <c r="G40" i="4" s="1"/>
  <c r="F41" i="4"/>
  <c r="G41" i="4" s="1"/>
  <c r="F38" i="4" l="1"/>
  <c r="G38" i="4" l="1"/>
  <c r="G42" i="4" s="1"/>
  <c r="G22" i="4" s="1"/>
  <c r="W21" i="4" l="1"/>
  <c r="C15" i="5"/>
  <c r="C4" i="5"/>
  <c r="C5" i="5" s="1"/>
  <c r="B2" i="3"/>
  <c r="E17" i="3"/>
  <c r="E18" i="3"/>
  <c r="E19" i="3"/>
  <c r="E20" i="3"/>
  <c r="E21" i="3"/>
  <c r="E22" i="3"/>
  <c r="E23" i="3"/>
  <c r="E24" i="3"/>
  <c r="E25" i="3"/>
  <c r="E26" i="3"/>
  <c r="O23" i="4"/>
  <c r="G10" i="4"/>
  <c r="N14" i="4"/>
  <c r="N15" i="4"/>
  <c r="N16" i="4"/>
  <c r="N17" i="4"/>
  <c r="N18" i="4"/>
  <c r="N19" i="4"/>
  <c r="N20" i="4"/>
  <c r="N21" i="4"/>
  <c r="N22" i="4"/>
  <c r="M13" i="4"/>
  <c r="L13" i="4"/>
  <c r="I9" i="3"/>
  <c r="K13" i="4"/>
  <c r="J13" i="4"/>
  <c r="X14" i="3"/>
  <c r="W14" i="3"/>
  <c r="Y14" i="3"/>
  <c r="AA14" i="3"/>
  <c r="C6" i="5" l="1"/>
  <c r="C7" i="5" s="1"/>
  <c r="C8" i="5" s="1"/>
  <c r="C9" i="5" s="1"/>
  <c r="C10" i="5" s="1"/>
  <c r="C11" i="5" s="1"/>
  <c r="C12" i="5" s="1"/>
  <c r="C13" i="5" s="1"/>
  <c r="I10" i="3"/>
  <c r="C17" i="3"/>
  <c r="C18" i="3" s="1"/>
  <c r="C19" i="3" s="1"/>
  <c r="C20" i="3" s="1"/>
  <c r="C21" i="3" s="1"/>
  <c r="C22" i="3" s="1"/>
  <c r="C23" i="3" s="1"/>
  <c r="C24" i="3" s="1"/>
  <c r="C25" i="3" s="1"/>
  <c r="C26" i="3" s="1"/>
  <c r="G23" i="4"/>
  <c r="F15" i="4"/>
  <c r="G11" i="4"/>
  <c r="G26" i="4" s="1"/>
  <c r="F17" i="3" l="1"/>
  <c r="L14" i="4" s="1"/>
  <c r="J14" i="4"/>
  <c r="AB16" i="3"/>
  <c r="W17" i="3" s="1"/>
  <c r="T17" i="3"/>
  <c r="G14" i="4"/>
  <c r="G16" i="4" s="1"/>
  <c r="K17" i="3" s="1"/>
  <c r="M17" i="3" s="1"/>
  <c r="V17" i="3" s="1"/>
  <c r="U17" i="3" l="1"/>
  <c r="F18" i="3"/>
  <c r="L15" i="4" s="1"/>
  <c r="J15" i="4"/>
  <c r="G15" i="4"/>
  <c r="H16" i="3" s="1"/>
  <c r="N13" i="4" s="1"/>
  <c r="G18" i="4"/>
  <c r="G17" i="4"/>
  <c r="I16" i="3" l="1"/>
  <c r="G19" i="4"/>
  <c r="L17" i="3" s="1"/>
  <c r="P13" i="4" l="1"/>
  <c r="D17" i="3"/>
  <c r="K14" i="4" s="1"/>
  <c r="N17" i="3"/>
  <c r="T18" i="3"/>
  <c r="U18" i="3"/>
  <c r="F19" i="3" l="1"/>
  <c r="L16" i="4" s="1"/>
  <c r="J16" i="4"/>
  <c r="T19" i="3"/>
  <c r="U19" i="3" l="1"/>
  <c r="F20" i="3"/>
  <c r="L17" i="4" s="1"/>
  <c r="J17" i="4"/>
  <c r="T20" i="3"/>
  <c r="U20" i="3" l="1"/>
  <c r="F21" i="3"/>
  <c r="L18" i="4" s="1"/>
  <c r="J18" i="4"/>
  <c r="T21" i="3"/>
  <c r="Y17" i="3"/>
  <c r="W24" i="3"/>
  <c r="W18" i="3"/>
  <c r="W23" i="3"/>
  <c r="W25" i="3"/>
  <c r="W21" i="3"/>
  <c r="W26" i="3"/>
  <c r="X17" i="3"/>
  <c r="W19" i="3"/>
  <c r="W22" i="3"/>
  <c r="W20" i="3"/>
  <c r="Z17" i="3" l="1"/>
  <c r="AA17" i="3" s="1"/>
  <c r="G17" i="3" s="1"/>
  <c r="M14" i="4" s="1"/>
  <c r="U21" i="3"/>
  <c r="F22" i="3"/>
  <c r="L19" i="4" s="1"/>
  <c r="J19" i="4"/>
  <c r="AB17" i="3"/>
  <c r="AC17" i="3" s="1"/>
  <c r="T22" i="3"/>
  <c r="U22" i="3" l="1"/>
  <c r="I17" i="3"/>
  <c r="P14" i="4" s="1"/>
  <c r="F23" i="3"/>
  <c r="L20" i="4" s="1"/>
  <c r="J20" i="4"/>
  <c r="X18" i="3"/>
  <c r="Y18" i="3"/>
  <c r="K18" i="3"/>
  <c r="M18" i="3" s="1"/>
  <c r="L18" i="3"/>
  <c r="T23" i="3"/>
  <c r="U23" i="3" l="1"/>
  <c r="AB18" i="3"/>
  <c r="X19" i="3" s="1"/>
  <c r="F24" i="3"/>
  <c r="L21" i="4" s="1"/>
  <c r="J21" i="4"/>
  <c r="V18" i="3"/>
  <c r="Z18" i="3" s="1"/>
  <c r="AA18" i="3" s="1"/>
  <c r="G18" i="3" s="1"/>
  <c r="M15" i="4" s="1"/>
  <c r="T24" i="3"/>
  <c r="D18" i="3"/>
  <c r="K15" i="4" s="1"/>
  <c r="L19" i="3"/>
  <c r="U24" i="3" l="1"/>
  <c r="Y19" i="3"/>
  <c r="AB19" i="3" s="1"/>
  <c r="AC19" i="3" s="1"/>
  <c r="AC18" i="3"/>
  <c r="F25" i="3"/>
  <c r="L22" i="4" s="1"/>
  <c r="J22" i="4"/>
  <c r="D19" i="3"/>
  <c r="K16" i="4" s="1"/>
  <c r="I18" i="3"/>
  <c r="T25" i="3"/>
  <c r="J23" i="4"/>
  <c r="W22" i="4" s="1"/>
  <c r="L20" i="3"/>
  <c r="N18" i="3"/>
  <c r="K19" i="3" s="1"/>
  <c r="M19" i="3" s="1"/>
  <c r="P15" i="4" l="1"/>
  <c r="Y20" i="3"/>
  <c r="X20" i="3"/>
  <c r="U25" i="3"/>
  <c r="F26" i="3"/>
  <c r="L23" i="4" s="1"/>
  <c r="D20" i="3"/>
  <c r="K17" i="4" s="1"/>
  <c r="T26" i="3"/>
  <c r="L21" i="3"/>
  <c r="AB20" i="3" l="1"/>
  <c r="AC20" i="3" s="1"/>
  <c r="U26" i="3"/>
  <c r="L22" i="3"/>
  <c r="D21" i="3"/>
  <c r="K18" i="4" s="1"/>
  <c r="V19" i="3"/>
  <c r="Z19" i="3" s="1"/>
  <c r="AA19" i="3" s="1"/>
  <c r="G19" i="3" s="1"/>
  <c r="M16" i="4" s="1"/>
  <c r="N19" i="3"/>
  <c r="K20" i="3" s="1"/>
  <c r="M20" i="3" s="1"/>
  <c r="X21" i="3" l="1"/>
  <c r="AB21" i="3" s="1"/>
  <c r="X22" i="3" s="1"/>
  <c r="AB22" i="3" s="1"/>
  <c r="AC22" i="3" s="1"/>
  <c r="I19" i="3"/>
  <c r="D22" i="3"/>
  <c r="K19" i="4" s="1"/>
  <c r="L23" i="3"/>
  <c r="AC21" i="3" l="1"/>
  <c r="X23" i="3"/>
  <c r="AB23" i="3" s="1"/>
  <c r="X24" i="3" s="1"/>
  <c r="AB24" i="3" s="1"/>
  <c r="AC24" i="3" s="1"/>
  <c r="P16" i="4"/>
  <c r="L24" i="3"/>
  <c r="D23" i="3"/>
  <c r="K20" i="4" s="1"/>
  <c r="V20" i="3"/>
  <c r="Z20" i="3" s="1"/>
  <c r="AA20" i="3" s="1"/>
  <c r="G20" i="3" s="1"/>
  <c r="M17" i="4" s="1"/>
  <c r="N20" i="3"/>
  <c r="K21" i="3" s="1"/>
  <c r="M21" i="3" s="1"/>
  <c r="AC23" i="3" l="1"/>
  <c r="X25" i="3"/>
  <c r="AB25" i="3" s="1"/>
  <c r="AC25" i="3" s="1"/>
  <c r="I20" i="3"/>
  <c r="D24" i="3"/>
  <c r="K21" i="4" s="1"/>
  <c r="L25" i="3"/>
  <c r="X26" i="3" l="1"/>
  <c r="AB26" i="3" s="1"/>
  <c r="AC26" i="3" s="1"/>
  <c r="P17" i="4"/>
  <c r="L26" i="3"/>
  <c r="V21" i="3"/>
  <c r="Z21" i="3" s="1"/>
  <c r="N21" i="3"/>
  <c r="K22" i="3" s="1"/>
  <c r="M22" i="3" s="1"/>
  <c r="D25" i="3"/>
  <c r="K22" i="4" s="1"/>
  <c r="AA21" i="3" l="1"/>
  <c r="G21" i="3" s="1"/>
  <c r="M18" i="4" s="1"/>
  <c r="D26" i="3"/>
  <c r="K23" i="4" s="1"/>
  <c r="I21" i="3" l="1"/>
  <c r="P18" i="4" s="1"/>
  <c r="V22" i="3"/>
  <c r="Z22" i="3" s="1"/>
  <c r="AA22" i="3" s="1"/>
  <c r="G22" i="3" s="1"/>
  <c r="M19" i="4" s="1"/>
  <c r="N22" i="3"/>
  <c r="K23" i="3" s="1"/>
  <c r="M23" i="3" s="1"/>
  <c r="I22" i="3" l="1"/>
  <c r="P19" i="4" s="1"/>
  <c r="V23" i="3" l="1"/>
  <c r="Z23" i="3" s="1"/>
  <c r="AA23" i="3" s="1"/>
  <c r="G23" i="3" s="1"/>
  <c r="M20" i="4" s="1"/>
  <c r="N23" i="3"/>
  <c r="K24" i="3" s="1"/>
  <c r="M24" i="3" s="1"/>
  <c r="I23" i="3" l="1"/>
  <c r="P20" i="4" s="1"/>
  <c r="V24" i="3" l="1"/>
  <c r="Z24" i="3" s="1"/>
  <c r="AA24" i="3" s="1"/>
  <c r="G24" i="3" s="1"/>
  <c r="M21" i="4" s="1"/>
  <c r="N24" i="3"/>
  <c r="K25" i="3" s="1"/>
  <c r="M25" i="3" s="1"/>
  <c r="I24" i="3" l="1"/>
  <c r="P21" i="4" s="1"/>
  <c r="V25" i="3" l="1"/>
  <c r="Z25" i="3" s="1"/>
  <c r="AA25" i="3" s="1"/>
  <c r="G25" i="3" s="1"/>
  <c r="M22" i="4" s="1"/>
  <c r="N25" i="3"/>
  <c r="K26" i="3" s="1"/>
  <c r="M26" i="3" l="1"/>
  <c r="I25" i="3"/>
  <c r="P22" i="4" s="1"/>
  <c r="V26" i="3" l="1"/>
  <c r="Z26" i="3" s="1"/>
  <c r="AA26" i="3" s="1"/>
  <c r="G26" i="3" s="1"/>
  <c r="M23" i="4" s="1"/>
  <c r="N26" i="3"/>
  <c r="H26" i="3" s="1"/>
  <c r="N23" i="4" l="1"/>
  <c r="I26" i="3"/>
  <c r="K27" i="3"/>
  <c r="I30" i="3" l="1"/>
  <c r="I28" i="3"/>
  <c r="I29" i="3" s="1"/>
  <c r="P23" i="4"/>
  <c r="P28" i="4" s="1"/>
  <c r="P29" i="4" s="1"/>
  <c r="P27" i="4" l="1"/>
  <c r="P26" i="4"/>
</calcChain>
</file>

<file path=xl/sharedStrings.xml><?xml version="1.0" encoding="utf-8"?>
<sst xmlns="http://schemas.openxmlformats.org/spreadsheetml/2006/main" count="208" uniqueCount="165">
  <si>
    <t>Steigerung Miete p.a.</t>
  </si>
  <si>
    <t>Steigerung Immobilienwert p.a.</t>
  </si>
  <si>
    <t>STEUERN</t>
  </si>
  <si>
    <t>Annuität</t>
  </si>
  <si>
    <t>Miet-</t>
  </si>
  <si>
    <t>Senior-</t>
  </si>
  <si>
    <t>KfW-</t>
  </si>
  <si>
    <t>Bewirtschaf-</t>
  </si>
  <si>
    <t>Nettozu-/ -abfluss</t>
  </si>
  <si>
    <t>Netto</t>
  </si>
  <si>
    <t>Darlehens-</t>
  </si>
  <si>
    <t>Tilgungs-</t>
  </si>
  <si>
    <t>Afa</t>
  </si>
  <si>
    <t>AfA</t>
  </si>
  <si>
    <t>Steuerl.</t>
  </si>
  <si>
    <t>Steuern</t>
  </si>
  <si>
    <t>Restwert</t>
  </si>
  <si>
    <t>Afa p.a.</t>
  </si>
  <si>
    <t>einnahmen</t>
  </si>
  <si>
    <t>Darlehen</t>
  </si>
  <si>
    <t>tung</t>
  </si>
  <si>
    <t>Einkauf / Verkauf</t>
  </si>
  <si>
    <t>Cash Flow</t>
  </si>
  <si>
    <t>betrag</t>
  </si>
  <si>
    <t>Zinsanteil</t>
  </si>
  <si>
    <t>anteil</t>
  </si>
  <si>
    <t>Zinsen</t>
  </si>
  <si>
    <t>§7 Abs. 4 (2a)</t>
  </si>
  <si>
    <t>§7 Abs. 5a</t>
  </si>
  <si>
    <t>§7b Abs. 3</t>
  </si>
  <si>
    <t>Ergebnis</t>
  </si>
  <si>
    <t>Immobilie</t>
  </si>
  <si>
    <t>Jahr 0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</si>
  <si>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</si>
  <si>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</si>
  <si>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</si>
  <si>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</si>
  <si>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</si>
  <si>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</si>
  <si>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</si>
  <si>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</si>
  <si>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</si>
  <si>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</si>
  <si>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Darlehensumme Ende des Jahres 10 = Rückzahlungsbetrag</t>
  </si>
  <si>
    <t>Kaufpreis</t>
  </si>
  <si>
    <t>Erwerbsnebenkosten</t>
  </si>
  <si>
    <t>(Notar, Grunderwerbssteuer, Grundbuchamt) in %</t>
  </si>
  <si>
    <t>Ankaufskosten</t>
  </si>
  <si>
    <t>davon EK</t>
  </si>
  <si>
    <t>Aufgebrachtes Eigenkapital in % der Ankaufskosten</t>
  </si>
  <si>
    <t>davon FK</t>
  </si>
  <si>
    <t>Entspricht Darlehenssumme</t>
  </si>
  <si>
    <t>Zins p.a.</t>
  </si>
  <si>
    <t>Annahme entsprechend aktueller Zinskonditionen</t>
  </si>
  <si>
    <t>Tilgung p.a.</t>
  </si>
  <si>
    <t>Annahme</t>
  </si>
  <si>
    <t>Annuität p.a.</t>
  </si>
  <si>
    <t>Kapitaldienst aus Zinszahlung + Tilgung</t>
  </si>
  <si>
    <t>Mieteinnahmen aus Kaltmiete</t>
  </si>
  <si>
    <t>Schätzung in % der Mieteinnahmen</t>
  </si>
  <si>
    <t>Kaltmiete</t>
  </si>
  <si>
    <t>Bewirtschaftung</t>
  </si>
  <si>
    <t>ANKAUF</t>
  </si>
  <si>
    <t>KAPITALEINSATZ / FINANZIERUNG</t>
  </si>
  <si>
    <t>VERMIETUNG</t>
  </si>
  <si>
    <t>- Kosten für Hausverwaltung</t>
  </si>
  <si>
    <t>STEUERLICHE BETRACHTUNG</t>
  </si>
  <si>
    <t>Annahme: Höchssteuersatz 45% zzgl. Soli 5,5%</t>
  </si>
  <si>
    <t>Abschreibungsgrundlage</t>
  </si>
  <si>
    <t>Abschreibung (Afa) §7 Abs. 5a</t>
  </si>
  <si>
    <t>Abschreibung (Afa) §7 Abs. 4 (2a)</t>
  </si>
  <si>
    <t>Abschreibung (Afa) §7b Abs. 3</t>
  </si>
  <si>
    <t>Sonder Afa für Mietwohnungsbau (5% für 4 Jahre)</t>
  </si>
  <si>
    <t>"Normale" lineare Afa 3% p.a. linear</t>
  </si>
  <si>
    <t>Persönlicher Steuersatz</t>
  </si>
  <si>
    <t>Ankauf / Verkauf</t>
  </si>
  <si>
    <t>ANNAHMEN</t>
  </si>
  <si>
    <t>möglich</t>
  </si>
  <si>
    <t>nicht möglich</t>
  </si>
  <si>
    <t>Mieteinnahmen</t>
  </si>
  <si>
    <t>Kapitaldienst</t>
  </si>
  <si>
    <t>nicht umlegbar</t>
  </si>
  <si>
    <t>PERFORMANCE</t>
  </si>
  <si>
    <t xml:space="preserve">RENDITEBETRACHTUNG KAPITALANLEGER </t>
  </si>
  <si>
    <t>(VERKAUF NACH 10 JAHREN)</t>
  </si>
  <si>
    <r>
      <t xml:space="preserve">Degressive AfA </t>
    </r>
    <r>
      <rPr>
        <i/>
        <sz val="10"/>
        <rFont val="Candara"/>
        <family val="2"/>
      </rPr>
      <t>bei Baubeginn zwischen 30.09.2023 und 01.10.2029</t>
    </r>
  </si>
  <si>
    <t>EK-Rendite p.a.</t>
  </si>
  <si>
    <t>Mietwachstum durchschnittlich p.a. um:</t>
  </si>
  <si>
    <t>Wertwachstum durchschnittlich p.a. um:</t>
  </si>
  <si>
    <t>generierter Netto Cash Flow nach 10 Jahren</t>
  </si>
  <si>
    <t>= Ankaufskosten</t>
  </si>
  <si>
    <t>FINANZIERUNG SENIOR DARLEHEN</t>
  </si>
  <si>
    <t>FINANZIERUNG JUNIOR DARLEHEN</t>
  </si>
  <si>
    <t>Darlehensbetrag</t>
  </si>
  <si>
    <t>Tilgungsanteil</t>
  </si>
  <si>
    <t>Eingabefelder</t>
  </si>
  <si>
    <t>Gebäudeanteil in % der Ankaufskosten</t>
  </si>
  <si>
    <t>Projekt:</t>
  </si>
  <si>
    <t>nach Steuern (steuerfreier Verkauf nach 10 Jahren)</t>
  </si>
  <si>
    <t>entspricht einer geforderten Aktienrendite / Tagesgeldzinsen p.a. vor Steuern</t>
  </si>
  <si>
    <t>Abfluss EK</t>
  </si>
  <si>
    <t xml:space="preserve">Verkaufspreis  </t>
  </si>
  <si>
    <t>erwarteter</t>
  </si>
  <si>
    <t>Erläuterung</t>
  </si>
  <si>
    <t>gewählte Afa</t>
  </si>
  <si>
    <t xml:space="preserve">   zum Vergleich</t>
  </si>
  <si>
    <t>nach 10 Jahren:</t>
  </si>
  <si>
    <t>Miete</t>
  </si>
  <si>
    <t>entspricht Erhöhung p.a.</t>
  </si>
  <si>
    <t>Erhöhung gem Mietspiegel</t>
  </si>
  <si>
    <t>Anfangsrendite</t>
  </si>
  <si>
    <t>ANNAHMEN ZUR ENTWICKLUNG</t>
  </si>
  <si>
    <t>generierter Netto Cash Flow über 10 Jahre</t>
  </si>
  <si>
    <t>Equity Multiple</t>
  </si>
  <si>
    <t xml:space="preserve">    zum Vergleich</t>
  </si>
  <si>
    <t>Hier erhalten Sie einen ersten Überblick über unsere Inklusiv-Leistungen:</t>
  </si>
  <si>
    <t>Mietpreisberatung</t>
  </si>
  <si>
    <t xml:space="preserve">Komplette Präsentation inklusive Fotos und Video </t>
  </si>
  <si>
    <t>Veröffentlichung Ihrer Wohnung auf den wichtigsten Portalen für die möblierte Vermietung</t>
  </si>
  <si>
    <t>Schnelle und effiziente Vermittlung eines geeigneten Mieters</t>
  </si>
  <si>
    <t>Organisation und Durchführung der Besichtigungstermine</t>
  </si>
  <si>
    <t>Bonitätsprüfung des Mieters bei SCHUFA und ggf. Creditreform</t>
  </si>
  <si>
    <t xml:space="preserve">Vertragsausfertigung in deutscher und englischer Sprache </t>
  </si>
  <si>
    <t>Ausfertigung von Vertragsverlängerungen innerhalb des ersten Mietjahres</t>
  </si>
  <si>
    <t>Wir sind Ihr Ansprechpartner während der gesamten Mietdauer</t>
  </si>
  <si>
    <t>Unsere Provisionstabelle:</t>
  </si>
  <si>
    <t>Gesamtmietdauer</t>
  </si>
  <si>
    <t>Nettoprovision</t>
  </si>
  <si>
    <t xml:space="preserve">Bruttoprovision. </t>
  </si>
  <si>
    <t>Bis 6 Monate</t>
  </si>
  <si>
    <t xml:space="preserve">+ 19% MwSt. = 117% einer Monatsmiete </t>
  </si>
  <si>
    <t>Bis 7 Monate</t>
  </si>
  <si>
    <t xml:space="preserve">+ 19% MwSt. = 134% einer Monatsmiete </t>
  </si>
  <si>
    <t>Bis 8 Monate</t>
  </si>
  <si>
    <t>+ 19% MwSt. = 151% einer Monatsmiete</t>
  </si>
  <si>
    <t>Bis 9 Monate</t>
  </si>
  <si>
    <t xml:space="preserve">+ 19% MwSt. = 168% einer Monatsmiete </t>
  </si>
  <si>
    <t>Ab 10 Monate oder länger</t>
  </si>
  <si>
    <t xml:space="preserve">+ 19% MwSt. = 185% einer Monatsmiete </t>
  </si>
  <si>
    <r>
      <t xml:space="preserve">Sie haben zusätzlich zu unseren oben genannten Inklusiv-Leistungen die Möglichkeit, weitere Leistungen in Anspruch zu nehmen. Unsere beliebtesten Zusatzleistungen haben wir für Sie in unserem </t>
    </r>
    <r>
      <rPr>
        <sz val="10"/>
        <color rgb="FF000000"/>
        <rFont val="Arial"/>
        <family val="2"/>
      </rPr>
      <t>Kompakt</t>
    </r>
    <r>
      <rPr>
        <sz val="10"/>
        <color theme="1"/>
        <rFont val="Arial"/>
        <family val="2"/>
      </rPr>
      <t>paket</t>
    </r>
    <r>
      <rPr>
        <sz val="10"/>
        <color rgb="FF000000"/>
        <rFont val="Arial"/>
        <family val="2"/>
      </rPr>
      <t>+</t>
    </r>
    <r>
      <rPr>
        <sz val="10"/>
        <color theme="1"/>
        <rFont val="Arial"/>
        <family val="2"/>
      </rPr>
      <t xml:space="preserve"> zusammengestellt:</t>
    </r>
  </si>
  <si>
    <t>Wohnungsübergabe und Wohnungsrückgabe mit Anfertigung eines Zustandsprotokolls</t>
  </si>
  <si>
    <t>Organisation einer professionellen Endreinigung</t>
  </si>
  <si>
    <t>Ausfertigung der Wohnungsgeberbestätigung</t>
  </si>
  <si>
    <t>Zählerablesung bei Übergabe und Rückgabe</t>
  </si>
  <si>
    <t>Miete p.a.</t>
  </si>
  <si>
    <t>ANNAHMEN ZUR ANFANGSMIETE</t>
  </si>
  <si>
    <t>Miete p.M.</t>
  </si>
  <si>
    <t>Miete Stellplatz</t>
  </si>
  <si>
    <t>siehe Annahmen zur Anfangsmiete</t>
  </si>
  <si>
    <t>Wohnfläche (qm)</t>
  </si>
  <si>
    <t>Miete (€/qm)</t>
  </si>
  <si>
    <t>entspricht dem Faktor der Vermehrung des eingesetzten Eigenkapitals (EK) nach 10 Jahren</t>
  </si>
  <si>
    <t>Anfangsrendite  bei Verkauf</t>
  </si>
  <si>
    <t>Einheit</t>
  </si>
  <si>
    <t>SUMME</t>
  </si>
  <si>
    <t>nach Afa/Zinsen/Miete</t>
  </si>
  <si>
    <t>Steuersaldo*</t>
  </si>
  <si>
    <t>* Steuer nach Mieteinnahmen abzüglich Zinsen und Afa</t>
  </si>
  <si>
    <t>IRR (EK-Rendite p.a.)</t>
  </si>
  <si>
    <r>
      <t xml:space="preserve">entspricht einer geforderten Aktienrendite / Tagesgeldzinsen </t>
    </r>
    <r>
      <rPr>
        <i/>
        <u/>
        <sz val="15"/>
        <rFont val="Candara"/>
        <family val="2"/>
      </rPr>
      <t>vor</t>
    </r>
    <r>
      <rPr>
        <i/>
        <sz val="15"/>
        <rFont val="Candara"/>
        <family val="2"/>
      </rPr>
      <t xml:space="preserve"> Steuern p.a.</t>
    </r>
  </si>
  <si>
    <t>Mehrfamilienhaus Wastelbauerstraße 10, Obermenzing</t>
  </si>
  <si>
    <t>Wohnung 1</t>
  </si>
  <si>
    <t>Wohnung 2</t>
  </si>
  <si>
    <t>Wohnung 3</t>
  </si>
  <si>
    <t>Wohnung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</si>
</sst>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_(&quot;€&quot;* #,##0.00_);_(&quot;€&quot;* \(#,##0.00\);_(&quot;€&quot;* &quot;-&quot;??_);_(@_)"/>
    <numFmt numFmtId="167" formatCode="_-* #,##0\ [$€-407]_-;\-* #,##0\ [$€-407]_-;_-* &quot;-&quot;??\ [$€-407]_-;_-@_-"/>
    <numFmt numFmtId="168" formatCode="0.000"/>
    <numFmt numFmtId="169" formatCode="_-* #,##0.00\ [$€-407]_-;\-* #,##0.00\ [$€-407]_-;_-* &quot;-&quot;??\ [$€-407]_-;_-@_-"/>
    <numFmt numFmtId="170" formatCode="#,##0.00\ &quot;€&quot;"/>
    <numFmt numFmtId="171" formatCode="#,##0\ &quot;€&quot;"/>
    <numFmt numFmtId="172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 tint="0.499984740745262"/>
      <name val="Candara"/>
      <family val="2"/>
    </font>
    <font>
      <sz val="16"/>
      <color theme="0"/>
      <name val="Candara"/>
      <family val="2"/>
    </font>
    <font>
      <b/>
      <sz val="16"/>
      <color theme="0"/>
      <name val="Candara"/>
      <family val="2"/>
    </font>
    <font>
      <i/>
      <sz val="16"/>
      <color theme="0"/>
      <name val="Candara"/>
      <family val="2"/>
    </font>
    <font>
      <sz val="14"/>
      <color theme="1"/>
      <name val="Calibri"/>
      <family val="2"/>
      <scheme val="minor"/>
    </font>
    <font>
      <sz val="14"/>
      <color theme="1" tint="0.499984740745262"/>
      <name val="Candara"/>
      <family val="2"/>
    </font>
    <font>
      <sz val="16"/>
      <color theme="1"/>
      <name val="Calibri"/>
      <family val="2"/>
      <scheme val="minor"/>
    </font>
    <font>
      <sz val="16"/>
      <color theme="1"/>
      <name val="Candara"/>
      <family val="2"/>
    </font>
    <font>
      <b/>
      <sz val="16"/>
      <color theme="1"/>
      <name val="Candara"/>
      <family val="2"/>
    </font>
    <font>
      <i/>
      <sz val="16"/>
      <color theme="1"/>
      <name val="Candara"/>
      <family val="2"/>
    </font>
    <font>
      <sz val="16"/>
      <name val="Candara"/>
      <family val="2"/>
    </font>
    <font>
      <sz val="16"/>
      <name val="Calibri"/>
      <family val="2"/>
      <scheme val="minor"/>
    </font>
    <font>
      <i/>
      <sz val="16"/>
      <name val="Candara"/>
      <family val="2"/>
    </font>
    <font>
      <b/>
      <sz val="16"/>
      <name val="Candara"/>
      <family val="2"/>
    </font>
    <font>
      <sz val="26"/>
      <color theme="1" tint="0.499984740745262"/>
      <name val="Candara"/>
      <family val="2"/>
    </font>
    <font>
      <i/>
      <sz val="10"/>
      <name val="Candara"/>
      <family val="2"/>
    </font>
    <font>
      <sz val="11"/>
      <color theme="1"/>
      <name val="Candara"/>
      <family val="2"/>
    </font>
    <font>
      <b/>
      <sz val="12.5"/>
      <color theme="1"/>
      <name val="Candara"/>
      <family val="2"/>
    </font>
    <font>
      <sz val="14"/>
      <color theme="1"/>
      <name val="Candara"/>
      <family val="2"/>
    </font>
    <font>
      <b/>
      <sz val="11"/>
      <color theme="1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sz val="20"/>
      <color theme="1"/>
      <name val="Candara"/>
      <family val="2"/>
    </font>
    <font>
      <i/>
      <sz val="11"/>
      <color theme="1"/>
      <name val="Candara"/>
      <family val="2"/>
    </font>
    <font>
      <sz val="12"/>
      <color theme="0"/>
      <name val="Candara"/>
      <family val="2"/>
    </font>
    <font>
      <sz val="11"/>
      <color theme="0"/>
      <name val="Candara"/>
      <family val="2"/>
    </font>
    <font>
      <b/>
      <sz val="20"/>
      <color theme="0"/>
      <name val="Candara"/>
      <family val="2"/>
    </font>
    <font>
      <b/>
      <sz val="12"/>
      <color theme="0"/>
      <name val="Candara"/>
      <family val="2"/>
    </font>
    <font>
      <b/>
      <i/>
      <sz val="12"/>
      <color theme="0"/>
      <name val="Candara"/>
      <family val="2"/>
    </font>
    <font>
      <i/>
      <sz val="11"/>
      <name val="Candara"/>
      <family val="2"/>
    </font>
    <font>
      <b/>
      <sz val="11"/>
      <color theme="0"/>
      <name val="Candara"/>
      <family val="2"/>
    </font>
    <font>
      <b/>
      <i/>
      <sz val="11"/>
      <color theme="0"/>
      <name val="Candara"/>
      <family val="2"/>
    </font>
    <font>
      <i/>
      <sz val="14"/>
      <color theme="1" tint="0.34998626667073579"/>
      <name val="Candar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A32768"/>
      <name val="Candara"/>
      <family val="2"/>
    </font>
    <font>
      <i/>
      <sz val="15"/>
      <color theme="0"/>
      <name val="Candara"/>
      <family val="2"/>
    </font>
    <font>
      <i/>
      <sz val="15"/>
      <name val="Candar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u/>
      <sz val="15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72D5A"/>
        <bgColor indexed="64"/>
      </patternFill>
    </fill>
    <fill>
      <patternFill patternType="solid">
        <fgColor rgb="FF8CA691"/>
        <bgColor indexed="64"/>
      </patternFill>
    </fill>
    <fill>
      <patternFill patternType="solid">
        <fgColor rgb="FFA32768"/>
        <bgColor indexed="64"/>
      </patternFill>
    </fill>
    <fill>
      <patternFill patternType="solid">
        <fgColor rgb="FF79716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217">
    <xf numFmtId="0" fontId="0" fillId="0" borderId="0" xfId="0"/>
    <xf numFmtId="164" fontId="0" fillId="0" borderId="0" xfId="1" applyNumberFormat="1" applyFont="1" applyFill="1" applyBorder="1"/>
    <xf numFmtId="0" fontId="6" fillId="0" borderId="0" xfId="0" applyFont="1"/>
    <xf numFmtId="0" fontId="9" fillId="0" borderId="6" xfId="0" applyFont="1" applyBorder="1"/>
    <xf numFmtId="0" fontId="9" fillId="0" borderId="8" xfId="0" applyFont="1" applyBorder="1"/>
    <xf numFmtId="10" fontId="0" fillId="0" borderId="0" xfId="2" applyNumberFormat="1" applyFont="1"/>
    <xf numFmtId="0" fontId="12" fillId="2" borderId="16" xfId="0" applyFont="1" applyFill="1" applyBorder="1"/>
    <xf numFmtId="0" fontId="13" fillId="2" borderId="16" xfId="0" applyFont="1" applyFill="1" applyBorder="1"/>
    <xf numFmtId="164" fontId="12" fillId="2" borderId="24" xfId="0" applyNumberFormat="1" applyFont="1" applyFill="1" applyBorder="1"/>
    <xf numFmtId="10" fontId="12" fillId="2" borderId="12" xfId="0" applyNumberFormat="1" applyFont="1" applyFill="1" applyBorder="1"/>
    <xf numFmtId="164" fontId="12" fillId="2" borderId="26" xfId="0" applyNumberFormat="1" applyFont="1" applyFill="1" applyBorder="1"/>
    <xf numFmtId="0" fontId="12" fillId="2" borderId="18" xfId="0" applyFont="1" applyFill="1" applyBorder="1"/>
    <xf numFmtId="0" fontId="15" fillId="2" borderId="18" xfId="0" applyFont="1" applyFill="1" applyBorder="1"/>
    <xf numFmtId="164" fontId="15" fillId="2" borderId="27" xfId="0" applyNumberFormat="1" applyFont="1" applyFill="1" applyBorder="1"/>
    <xf numFmtId="0" fontId="14" fillId="2" borderId="16" xfId="0" applyFont="1" applyFill="1" applyBorder="1"/>
    <xf numFmtId="164" fontId="14" fillId="2" borderId="24" xfId="0" applyNumberFormat="1" applyFont="1" applyFill="1" applyBorder="1"/>
    <xf numFmtId="9" fontId="12" fillId="2" borderId="12" xfId="0" applyNumberFormat="1" applyFont="1" applyFill="1" applyBorder="1"/>
    <xf numFmtId="164" fontId="15" fillId="2" borderId="26" xfId="0" applyNumberFormat="1" applyFont="1" applyFill="1" applyBorder="1"/>
    <xf numFmtId="165" fontId="12" fillId="2" borderId="12" xfId="0" applyNumberFormat="1" applyFont="1" applyFill="1" applyBorder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16" fillId="0" borderId="0" xfId="0" applyFont="1" applyBorder="1"/>
    <xf numFmtId="0" fontId="2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10" fontId="0" fillId="0" borderId="0" xfId="0" applyNumberFormat="1" applyBorder="1"/>
    <xf numFmtId="164" fontId="10" fillId="0" borderId="0" xfId="0" applyNumberFormat="1" applyFont="1" applyBorder="1"/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8" fillId="0" borderId="3" xfId="0" applyFont="1" applyBorder="1"/>
    <xf numFmtId="10" fontId="18" fillId="0" borderId="7" xfId="0" applyNumberFormat="1" applyFont="1" applyFill="1" applyBorder="1"/>
    <xf numFmtId="164" fontId="18" fillId="0" borderId="0" xfId="1" applyNumberFormat="1" applyFont="1" applyFill="1" applyBorder="1"/>
    <xf numFmtId="10" fontId="18" fillId="0" borderId="9" xfId="0" applyNumberFormat="1" applyFont="1" applyFill="1" applyBorder="1"/>
    <xf numFmtId="164" fontId="18" fillId="0" borderId="0" xfId="1" applyNumberFormat="1" applyFont="1" applyFill="1" applyBorder="1" applyAlignment="1">
      <alignment horizontal="center"/>
    </xf>
    <xf numFmtId="9" fontId="18" fillId="0" borderId="9" xfId="0" applyNumberFormat="1" applyFont="1" applyBorder="1" applyAlignment="1">
      <alignment horizontal="center"/>
    </xf>
    <xf numFmtId="9" fontId="18" fillId="0" borderId="9" xfId="0" applyNumberFormat="1" applyFont="1" applyFill="1" applyBorder="1" applyAlignment="1">
      <alignment horizontal="center"/>
    </xf>
    <xf numFmtId="165" fontId="18" fillId="0" borderId="9" xfId="0" applyNumberFormat="1" applyFont="1" applyFill="1" applyBorder="1" applyAlignment="1">
      <alignment horizontal="center"/>
    </xf>
    <xf numFmtId="0" fontId="24" fillId="0" borderId="0" xfId="0" applyFont="1"/>
    <xf numFmtId="0" fontId="18" fillId="0" borderId="10" xfId="0" applyFont="1" applyBorder="1"/>
    <xf numFmtId="6" fontId="23" fillId="2" borderId="35" xfId="0" applyNumberFormat="1" applyFont="1" applyFill="1" applyBorder="1" applyAlignment="1">
      <alignment horizontal="center"/>
    </xf>
    <xf numFmtId="6" fontId="23" fillId="2" borderId="13" xfId="0" applyNumberFormat="1" applyFont="1" applyFill="1" applyBorder="1" applyAlignment="1">
      <alignment horizontal="center"/>
    </xf>
    <xf numFmtId="6" fontId="23" fillId="2" borderId="36" xfId="0" applyNumberFormat="1" applyFont="1" applyFill="1" applyBorder="1" applyAlignment="1">
      <alignment horizontal="center"/>
    </xf>
    <xf numFmtId="0" fontId="20" fillId="0" borderId="0" xfId="0" applyFont="1" applyBorder="1"/>
    <xf numFmtId="0" fontId="18" fillId="0" borderId="0" xfId="0" applyFont="1" applyBorder="1"/>
    <xf numFmtId="10" fontId="18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18" fillId="0" borderId="0" xfId="0" applyFont="1" applyBorder="1" applyAlignment="1">
      <alignment horizontal="center"/>
    </xf>
    <xf numFmtId="164" fontId="18" fillId="0" borderId="0" xfId="1" applyNumberFormat="1" applyFont="1" applyBorder="1"/>
    <xf numFmtId="0" fontId="21" fillId="0" borderId="0" xfId="0" applyFont="1" applyBorder="1" applyAlignment="1">
      <alignment horizontal="center"/>
    </xf>
    <xf numFmtId="164" fontId="18" fillId="0" borderId="0" xfId="0" applyNumberFormat="1" applyFont="1" applyBorder="1"/>
    <xf numFmtId="164" fontId="25" fillId="0" borderId="0" xfId="0" applyNumberFormat="1" applyFont="1" applyBorder="1"/>
    <xf numFmtId="0" fontId="25" fillId="0" borderId="0" xfId="0" applyFont="1" applyBorder="1"/>
    <xf numFmtId="0" fontId="24" fillId="0" borderId="0" xfId="0" applyFont="1" applyBorder="1"/>
    <xf numFmtId="0" fontId="19" fillId="0" borderId="0" xfId="0" applyFont="1" applyBorder="1"/>
    <xf numFmtId="0" fontId="22" fillId="0" borderId="0" xfId="0" applyFont="1" applyBorder="1" applyAlignment="1"/>
    <xf numFmtId="0" fontId="26" fillId="3" borderId="38" xfId="0" applyFont="1" applyFill="1" applyBorder="1"/>
    <xf numFmtId="0" fontId="26" fillId="3" borderId="39" xfId="0" applyFont="1" applyFill="1" applyBorder="1"/>
    <xf numFmtId="0" fontId="26" fillId="3" borderId="29" xfId="0" applyFont="1" applyFill="1" applyBorder="1"/>
    <xf numFmtId="0" fontId="26" fillId="3" borderId="40" xfId="0" applyFont="1" applyFill="1" applyBorder="1"/>
    <xf numFmtId="6" fontId="23" fillId="2" borderId="20" xfId="0" applyNumberFormat="1" applyFont="1" applyFill="1" applyBorder="1" applyAlignment="1">
      <alignment horizontal="center"/>
    </xf>
    <xf numFmtId="6" fontId="23" fillId="2" borderId="21" xfId="0" applyNumberFormat="1" applyFont="1" applyFill="1" applyBorder="1" applyAlignment="1">
      <alignment horizontal="center"/>
    </xf>
    <xf numFmtId="6" fontId="23" fillId="2" borderId="11" xfId="0" applyNumberFormat="1" applyFont="1" applyFill="1" applyBorder="1" applyAlignment="1">
      <alignment horizontal="center"/>
    </xf>
    <xf numFmtId="6" fontId="23" fillId="2" borderId="14" xfId="0" applyNumberFormat="1" applyFont="1" applyFill="1" applyBorder="1" applyAlignment="1">
      <alignment horizontal="center"/>
    </xf>
    <xf numFmtId="6" fontId="23" fillId="2" borderId="22" xfId="0" applyNumberFormat="1" applyFont="1" applyFill="1" applyBorder="1" applyAlignment="1">
      <alignment horizontal="center"/>
    </xf>
    <xf numFmtId="6" fontId="23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/>
    <xf numFmtId="164" fontId="14" fillId="2" borderId="26" xfId="0" applyNumberFormat="1" applyFont="1" applyFill="1" applyBorder="1"/>
    <xf numFmtId="0" fontId="9" fillId="0" borderId="45" xfId="0" applyFont="1" applyBorder="1"/>
    <xf numFmtId="0" fontId="9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10" fillId="0" borderId="45" xfId="0" applyFont="1" applyBorder="1"/>
    <xf numFmtId="0" fontId="11" fillId="0" borderId="1" xfId="0" applyFont="1" applyBorder="1"/>
    <xf numFmtId="9" fontId="10" fillId="0" borderId="1" xfId="2" applyFont="1" applyFill="1" applyBorder="1"/>
    <xf numFmtId="164" fontId="10" fillId="0" borderId="2" xfId="0" applyNumberFormat="1" applyFont="1" applyBorder="1"/>
    <xf numFmtId="0" fontId="26" fillId="3" borderId="48" xfId="0" applyFont="1" applyFill="1" applyBorder="1"/>
    <xf numFmtId="0" fontId="26" fillId="3" borderId="49" xfId="0" applyFont="1" applyFill="1" applyBorder="1"/>
    <xf numFmtId="0" fontId="26" fillId="3" borderId="42" xfId="0" applyFont="1" applyFill="1" applyBorder="1"/>
    <xf numFmtId="0" fontId="26" fillId="3" borderId="19" xfId="0" applyFont="1" applyFill="1" applyBorder="1"/>
    <xf numFmtId="0" fontId="22" fillId="0" borderId="6" xfId="0" applyFont="1" applyBorder="1" applyAlignment="1"/>
    <xf numFmtId="0" fontId="22" fillId="0" borderId="8" xfId="0" applyFont="1" applyBorder="1" applyAlignment="1"/>
    <xf numFmtId="0" fontId="18" fillId="0" borderId="6" xfId="0" applyFont="1" applyBorder="1"/>
    <xf numFmtId="0" fontId="18" fillId="0" borderId="8" xfId="0" applyFont="1" applyBorder="1"/>
    <xf numFmtId="0" fontId="26" fillId="3" borderId="41" xfId="0" applyFont="1" applyFill="1" applyBorder="1"/>
    <xf numFmtId="0" fontId="26" fillId="3" borderId="30" xfId="0" applyFont="1" applyFill="1" applyBorder="1"/>
    <xf numFmtId="0" fontId="23" fillId="0" borderId="8" xfId="0" applyFont="1" applyBorder="1"/>
    <xf numFmtId="0" fontId="14" fillId="2" borderId="32" xfId="0" applyFont="1" applyFill="1" applyBorder="1" applyAlignment="1"/>
    <xf numFmtId="0" fontId="14" fillId="2" borderId="18" xfId="0" applyFont="1" applyFill="1" applyBorder="1" applyAlignment="1"/>
    <xf numFmtId="0" fontId="25" fillId="0" borderId="8" xfId="0" applyFont="1" applyBorder="1"/>
    <xf numFmtId="10" fontId="29" fillId="4" borderId="48" xfId="2" applyNumberFormat="1" applyFont="1" applyFill="1" applyBorder="1"/>
    <xf numFmtId="167" fontId="30" fillId="4" borderId="49" xfId="2" applyNumberFormat="1" applyFont="1" applyFill="1" applyBorder="1"/>
    <xf numFmtId="0" fontId="31" fillId="2" borderId="18" xfId="0" applyFont="1" applyFill="1" applyBorder="1" applyAlignment="1"/>
    <xf numFmtId="10" fontId="30" fillId="4" borderId="53" xfId="2" applyNumberFormat="1" applyFont="1" applyFill="1" applyBorder="1"/>
    <xf numFmtId="0" fontId="31" fillId="2" borderId="41" xfId="0" applyFont="1" applyFill="1" applyBorder="1" applyAlignment="1"/>
    <xf numFmtId="0" fontId="31" fillId="2" borderId="15" xfId="0" applyFont="1" applyFill="1" applyBorder="1" applyAlignment="1"/>
    <xf numFmtId="0" fontId="27" fillId="3" borderId="15" xfId="0" applyFont="1" applyFill="1" applyBorder="1" applyAlignment="1"/>
    <xf numFmtId="0" fontId="31" fillId="2" borderId="42" xfId="0" applyFont="1" applyFill="1" applyBorder="1" applyAlignment="1"/>
    <xf numFmtId="0" fontId="31" fillId="2" borderId="46" xfId="0" applyFont="1" applyFill="1" applyBorder="1" applyAlignment="1"/>
    <xf numFmtId="0" fontId="31" fillId="2" borderId="16" xfId="0" applyFont="1" applyFill="1" applyBorder="1" applyAlignment="1"/>
    <xf numFmtId="0" fontId="27" fillId="3" borderId="16" xfId="0" applyFont="1" applyFill="1" applyBorder="1" applyAlignment="1"/>
    <xf numFmtId="0" fontId="31" fillId="2" borderId="50" xfId="0" applyFont="1" applyFill="1" applyBorder="1" applyAlignment="1"/>
    <xf numFmtId="0" fontId="31" fillId="2" borderId="30" xfId="0" applyFont="1" applyFill="1" applyBorder="1" applyAlignment="1"/>
    <xf numFmtId="0" fontId="27" fillId="3" borderId="18" xfId="0" applyFont="1" applyFill="1" applyBorder="1" applyAlignment="1"/>
    <xf numFmtId="0" fontId="31" fillId="2" borderId="19" xfId="0" applyFont="1" applyFill="1" applyBorder="1" applyAlignment="1"/>
    <xf numFmtId="0" fontId="18" fillId="0" borderId="3" xfId="0" applyFont="1" applyBorder="1" applyAlignment="1">
      <alignment horizontal="center"/>
    </xf>
    <xf numFmtId="0" fontId="32" fillId="3" borderId="38" xfId="0" applyFont="1" applyFill="1" applyBorder="1" applyAlignment="1"/>
    <xf numFmtId="0" fontId="33" fillId="3" borderId="33" xfId="0" quotePrefix="1" applyFont="1" applyFill="1" applyBorder="1" applyAlignment="1"/>
    <xf numFmtId="0" fontId="32" fillId="3" borderId="29" xfId="0" applyFont="1" applyFill="1" applyBorder="1" applyAlignment="1"/>
    <xf numFmtId="0" fontId="29" fillId="3" borderId="37" xfId="0" applyFont="1" applyFill="1" applyBorder="1" applyAlignment="1">
      <alignment horizontal="left"/>
    </xf>
    <xf numFmtId="0" fontId="29" fillId="3" borderId="43" xfId="0" applyFont="1" applyFill="1" applyBorder="1" applyAlignment="1"/>
    <xf numFmtId="0" fontId="29" fillId="3" borderId="1" xfId="0" applyFont="1" applyFill="1" applyBorder="1" applyAlignment="1"/>
    <xf numFmtId="0" fontId="29" fillId="3" borderId="2" xfId="0" applyFont="1" applyFill="1" applyBorder="1" applyAlignment="1"/>
    <xf numFmtId="0" fontId="18" fillId="0" borderId="41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34" fillId="2" borderId="52" xfId="0" applyFont="1" applyFill="1" applyBorder="1" applyAlignment="1">
      <alignment horizontal="right"/>
    </xf>
    <xf numFmtId="0" fontId="34" fillId="2" borderId="12" xfId="0" applyFont="1" applyFill="1" applyBorder="1" applyAlignment="1">
      <alignment horizontal="right"/>
    </xf>
    <xf numFmtId="164" fontId="34" fillId="2" borderId="51" xfId="1" applyNumberFormat="1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164" fontId="3" fillId="5" borderId="9" xfId="0" applyNumberFormat="1" applyFont="1" applyFill="1" applyBorder="1"/>
    <xf numFmtId="10" fontId="3" fillId="5" borderId="12" xfId="0" applyNumberFormat="1" applyFont="1" applyFill="1" applyBorder="1"/>
    <xf numFmtId="165" fontId="3" fillId="5" borderId="12" xfId="0" applyNumberFormat="1" applyFont="1" applyFill="1" applyBorder="1"/>
    <xf numFmtId="0" fontId="36" fillId="0" borderId="0" xfId="0" applyFont="1"/>
    <xf numFmtId="164" fontId="3" fillId="5" borderId="26" xfId="0" applyNumberFormat="1" applyFont="1" applyFill="1" applyBorder="1"/>
    <xf numFmtId="10" fontId="3" fillId="5" borderId="18" xfId="0" applyNumberFormat="1" applyFont="1" applyFill="1" applyBorder="1"/>
    <xf numFmtId="10" fontId="4" fillId="6" borderId="24" xfId="2" applyNumberFormat="1" applyFont="1" applyFill="1" applyBorder="1"/>
    <xf numFmtId="0" fontId="28" fillId="7" borderId="37" xfId="0" applyFont="1" applyFill="1" applyBorder="1"/>
    <xf numFmtId="0" fontId="3" fillId="7" borderId="11" xfId="0" applyFont="1" applyFill="1" applyBorder="1"/>
    <xf numFmtId="0" fontId="3" fillId="7" borderId="25" xfId="0" applyFont="1" applyFill="1" applyBorder="1"/>
    <xf numFmtId="0" fontId="4" fillId="7" borderId="17" xfId="0" quotePrefix="1" applyFont="1" applyFill="1" applyBorder="1"/>
    <xf numFmtId="0" fontId="5" fillId="7" borderId="11" xfId="0" applyFont="1" applyFill="1" applyBorder="1"/>
    <xf numFmtId="0" fontId="3" fillId="7" borderId="11" xfId="0" applyFont="1" applyFill="1" applyBorder="1" applyAlignment="1">
      <alignment horizontal="center"/>
    </xf>
    <xf numFmtId="0" fontId="3" fillId="7" borderId="44" xfId="0" applyFont="1" applyFill="1" applyBorder="1"/>
    <xf numFmtId="0" fontId="3" fillId="7" borderId="22" xfId="0" applyFont="1" applyFill="1" applyBorder="1"/>
    <xf numFmtId="0" fontId="3" fillId="7" borderId="20" xfId="0" applyFont="1" applyFill="1" applyBorder="1"/>
    <xf numFmtId="0" fontId="3" fillId="7" borderId="33" xfId="0" applyFont="1" applyFill="1" applyBorder="1" applyAlignment="1"/>
    <xf numFmtId="0" fontId="5" fillId="7" borderId="33" xfId="0" quotePrefix="1" applyFont="1" applyFill="1" applyBorder="1" applyAlignment="1"/>
    <xf numFmtId="0" fontId="4" fillId="7" borderId="20" xfId="0" applyFont="1" applyFill="1" applyBorder="1"/>
    <xf numFmtId="0" fontId="4" fillId="7" borderId="35" xfId="0" applyFont="1" applyFill="1" applyBorder="1"/>
    <xf numFmtId="0" fontId="5" fillId="7" borderId="22" xfId="0" applyFont="1" applyFill="1" applyBorder="1"/>
    <xf numFmtId="0" fontId="5" fillId="7" borderId="36" xfId="0" applyFont="1" applyFill="1" applyBorder="1"/>
    <xf numFmtId="169" fontId="0" fillId="0" borderId="0" xfId="4" applyNumberFormat="1" applyFont="1"/>
    <xf numFmtId="164" fontId="4" fillId="6" borderId="24" xfId="1" applyNumberFormat="1" applyFont="1" applyFill="1" applyBorder="1"/>
    <xf numFmtId="0" fontId="5" fillId="7" borderId="34" xfId="0" quotePrefix="1" applyFont="1" applyFill="1" applyBorder="1" applyAlignment="1"/>
    <xf numFmtId="0" fontId="38" fillId="7" borderId="33" xfId="0" quotePrefix="1" applyFont="1" applyFill="1" applyBorder="1" applyAlignment="1"/>
    <xf numFmtId="0" fontId="39" fillId="2" borderId="32" xfId="0" applyFont="1" applyFill="1" applyBorder="1" applyAlignment="1"/>
    <xf numFmtId="43" fontId="4" fillId="6" borderId="47" xfId="4" applyFont="1" applyFill="1" applyBorder="1"/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 vertical="center" indent="1"/>
    </xf>
    <xf numFmtId="0" fontId="45" fillId="0" borderId="0" xfId="5" applyAlignment="1">
      <alignment horizontal="left" vertical="center" indent="1"/>
    </xf>
    <xf numFmtId="0" fontId="42" fillId="0" borderId="0" xfId="0" applyFont="1" applyAlignment="1">
      <alignment vertical="center"/>
    </xf>
    <xf numFmtId="0" fontId="40" fillId="0" borderId="0" xfId="0" applyFont="1" applyAlignment="1">
      <alignment horizontal="left" vertical="center" indent="1"/>
    </xf>
    <xf numFmtId="0" fontId="43" fillId="8" borderId="0" xfId="0" applyFont="1" applyFill="1" applyAlignment="1">
      <alignment vertical="center" wrapText="1"/>
    </xf>
    <xf numFmtId="0" fontId="43" fillId="9" borderId="0" xfId="0" applyFont="1" applyFill="1" applyAlignment="1">
      <alignment vertical="center" wrapText="1"/>
    </xf>
    <xf numFmtId="10" fontId="43" fillId="9" borderId="0" xfId="0" applyNumberFormat="1" applyFont="1" applyFill="1" applyAlignment="1">
      <alignment vertical="center" wrapText="1"/>
    </xf>
    <xf numFmtId="10" fontId="43" fillId="8" borderId="0" xfId="0" applyNumberFormat="1" applyFont="1" applyFill="1" applyAlignment="1">
      <alignment vertical="center" wrapText="1"/>
    </xf>
    <xf numFmtId="0" fontId="41" fillId="0" borderId="0" xfId="0" applyFont="1" applyAlignment="1">
      <alignment vertical="center"/>
    </xf>
    <xf numFmtId="0" fontId="44" fillId="0" borderId="0" xfId="0" applyFont="1" applyAlignment="1">
      <alignment horizontal="left" vertical="center" indent="1"/>
    </xf>
    <xf numFmtId="0" fontId="43" fillId="0" borderId="0" xfId="0" applyFont="1" applyAlignment="1">
      <alignment horizontal="left" vertical="center" indent="1"/>
    </xf>
    <xf numFmtId="0" fontId="4" fillId="7" borderId="21" xfId="0" applyFont="1" applyFill="1" applyBorder="1"/>
    <xf numFmtId="0" fontId="5" fillId="7" borderId="23" xfId="0" applyFont="1" applyFill="1" applyBorder="1"/>
    <xf numFmtId="9" fontId="3" fillId="5" borderId="12" xfId="0" applyNumberFormat="1" applyFont="1" applyFill="1" applyBorder="1" applyAlignment="1">
      <alignment horizontal="right"/>
    </xf>
    <xf numFmtId="171" fontId="3" fillId="5" borderId="24" xfId="0" applyNumberFormat="1" applyFont="1" applyFill="1" applyBorder="1" applyAlignment="1">
      <alignment horizontal="right"/>
    </xf>
    <xf numFmtId="0" fontId="15" fillId="2" borderId="56" xfId="0" applyFont="1" applyFill="1" applyBorder="1" applyAlignment="1">
      <alignment horizontal="left"/>
    </xf>
    <xf numFmtId="0" fontId="15" fillId="2" borderId="57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170" fontId="3" fillId="5" borderId="40" xfId="1" applyNumberFormat="1" applyFont="1" applyFill="1" applyBorder="1" applyAlignment="1">
      <alignment horizontal="left"/>
    </xf>
    <xf numFmtId="6" fontId="12" fillId="2" borderId="40" xfId="0" applyNumberFormat="1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6" fontId="12" fillId="2" borderId="35" xfId="0" applyNumberFormat="1" applyFont="1" applyFill="1" applyBorder="1" applyAlignment="1">
      <alignment horizontal="right"/>
    </xf>
    <xf numFmtId="6" fontId="12" fillId="2" borderId="13" xfId="0" applyNumberFormat="1" applyFont="1" applyFill="1" applyBorder="1" applyAlignment="1">
      <alignment horizontal="right"/>
    </xf>
    <xf numFmtId="6" fontId="37" fillId="2" borderId="13" xfId="0" applyNumberFormat="1" applyFont="1" applyFill="1" applyBorder="1" applyAlignment="1">
      <alignment horizontal="right"/>
    </xf>
    <xf numFmtId="6" fontId="12" fillId="2" borderId="36" xfId="0" applyNumberFormat="1" applyFont="1" applyFill="1" applyBorder="1" applyAlignment="1">
      <alignment horizontal="right"/>
    </xf>
    <xf numFmtId="6" fontId="37" fillId="2" borderId="36" xfId="0" applyNumberFormat="1" applyFont="1" applyFill="1" applyBorder="1" applyAlignment="1">
      <alignment horizontal="right"/>
    </xf>
    <xf numFmtId="6" fontId="12" fillId="2" borderId="21" xfId="0" applyNumberFormat="1" applyFont="1" applyFill="1" applyBorder="1" applyAlignment="1">
      <alignment horizontal="right"/>
    </xf>
    <xf numFmtId="6" fontId="12" fillId="2" borderId="14" xfId="0" applyNumberFormat="1" applyFont="1" applyFill="1" applyBorder="1" applyAlignment="1">
      <alignment horizontal="right"/>
    </xf>
    <xf numFmtId="6" fontId="12" fillId="2" borderId="23" xfId="0" applyNumberFormat="1" applyFont="1" applyFill="1" applyBorder="1" applyAlignment="1">
      <alignment horizontal="right"/>
    </xf>
    <xf numFmtId="6" fontId="12" fillId="2" borderId="40" xfId="0" applyNumberFormat="1" applyFont="1" applyFill="1" applyBorder="1" applyAlignment="1"/>
    <xf numFmtId="0" fontId="15" fillId="2" borderId="57" xfId="0" applyFont="1" applyFill="1" applyBorder="1" applyAlignment="1"/>
    <xf numFmtId="0" fontId="3" fillId="7" borderId="58" xfId="0" applyFont="1" applyFill="1" applyBorder="1"/>
    <xf numFmtId="0" fontId="0" fillId="0" borderId="10" xfId="0" applyBorder="1"/>
    <xf numFmtId="6" fontId="15" fillId="2" borderId="40" xfId="0" applyNumberFormat="1" applyFont="1" applyFill="1" applyBorder="1" applyAlignment="1"/>
    <xf numFmtId="0" fontId="46" fillId="0" borderId="0" xfId="0" quotePrefix="1" applyFont="1"/>
    <xf numFmtId="0" fontId="4" fillId="7" borderId="54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5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2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left"/>
    </xf>
    <xf numFmtId="0" fontId="28" fillId="7" borderId="43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right"/>
    </xf>
    <xf numFmtId="0" fontId="14" fillId="2" borderId="16" xfId="0" applyFont="1" applyFill="1" applyBorder="1" applyAlignment="1">
      <alignment horizontal="right"/>
    </xf>
    <xf numFmtId="0" fontId="27" fillId="3" borderId="38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172" fontId="3" fillId="5" borderId="29" xfId="0" applyNumberFormat="1" applyFont="1" applyFill="1" applyBorder="1" applyAlignment="1">
      <alignment horizontal="left"/>
    </xf>
  </cellXfs>
  <cellStyles count="6">
    <cellStyle name="Komma" xfId="4" builtinId="3"/>
    <cellStyle name="Link" xfId="5" builtinId="8"/>
    <cellStyle name="Prozent" xfId="2" builtinId="5"/>
    <cellStyle name="Standard" xfId="0" builtinId="0"/>
    <cellStyle name="Währung" xfId="1" builtinId="4"/>
    <cellStyle name="Währung 3" xfId="3" xr:uid="{AFF64E90-21B1-4542-B916-8BD201514492}"/>
  </cellStyles>
  <dxfs count="1">
    <dxf>
      <font>
        <color rgb="FFA32768"/>
      </font>
    </dxf>
  </dxfs>
  <tableStyles count="0" defaultTableStyle="TableStyleMedium2" defaultPivotStyle="PivotStyleLight16"/>
  <colors>
    <mruColors>
      <color rgb="FF8CA691"/>
      <color rgb="FFA32768"/>
      <color rgb="FF79716D"/>
      <color rgb="FFBDE5D3"/>
      <color rgb="FF30FE00"/>
      <color rgb="FFCDFFC1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613390</xdr:colOff>
      <xdr:row>1</xdr:row>
      <xdr:rowOff>2267</xdr:rowOff>
    </xdr:from>
    <xdr:to>
      <xdr:col>16</xdr:col>
      <xdr:colOff>3646</xdr:colOff>
      <xdr:row>5</xdr:row>
      <xdr:rowOff>34997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54B1897-20A2-4C01-8E9D-18437F8C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10154" y="196231"/>
          <a:ext cx="2798472" cy="1468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107779</xdr:colOff>
      <xdr:row>46</xdr:row>
      <xdr:rowOff>122781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715D52-A296-44ED-985F-3E0A1187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447619" cy="8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rlodge.de/infos-fuer-vermieter/foto-und-videoservic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6EC1-6429-4AA9-85A2-CED175FD8C83}">
  <sheetPr>
    <tabColor theme="1" tint="0.499984740745262"/>
    <pageSetUpPr fitToPage="1"/>
  </sheetPr>
  <dimension ref="B1:X68"/>
  <sheetViews>
    <sheetView tabSelected="1" zoomScale="55" zoomScaleNormal="55" zoomScaleSheetLayoutView="55" zoomScalePageLayoutView="40" workbookViewId="0">
      <selection activeCell="G10" sqref="G10"/>
    </sheetView>
  </sheetViews>
  <sheetFormatPr baseColWidth="10" defaultColWidth="11.44140625" defaultRowHeight="14.4" x14ac:dyDescent="0.3"/>
  <cols>
    <col min="1" max="1" width="3.6640625" customWidth="1"/>
    <col min="2" max="2" width="46.6640625" customWidth="1"/>
    <col min="3" max="7" width="24.6640625" customWidth="1"/>
    <col min="8" max="8" width="8.6640625" customWidth="1"/>
    <col min="9" max="9" width="34" customWidth="1"/>
    <col min="10" max="12" width="24.6640625" customWidth="1"/>
    <col min="13" max="13" width="29.109375" bestFit="1" customWidth="1"/>
    <col min="14" max="16" width="24.6640625" customWidth="1"/>
    <col min="22" max="22" width="27.33203125" bestFit="1" customWidth="1"/>
  </cols>
  <sheetData>
    <row r="1" spans="2:24" ht="15" customHeight="1" x14ac:dyDescent="0.3"/>
    <row r="2" spans="2:24" ht="36.75" customHeight="1" x14ac:dyDescent="0.5">
      <c r="B2" s="132" t="s">
        <v>97</v>
      </c>
      <c r="C2" s="203" t="s">
        <v>160</v>
      </c>
      <c r="D2" s="204"/>
      <c r="E2" s="204"/>
      <c r="F2" s="204"/>
      <c r="G2" s="205"/>
      <c r="H2" s="20"/>
      <c r="I2" s="2"/>
      <c r="J2" s="2"/>
      <c r="K2" s="2"/>
    </row>
    <row r="3" spans="2:24" ht="20.100000000000001" customHeight="1" x14ac:dyDescent="0.35">
      <c r="B3" s="21"/>
      <c r="C3" s="21"/>
      <c r="D3" s="20"/>
      <c r="E3" s="20"/>
      <c r="F3" s="20"/>
      <c r="G3" s="20"/>
      <c r="H3" s="20"/>
      <c r="I3" s="2"/>
      <c r="J3" s="2"/>
      <c r="K3" s="2"/>
    </row>
    <row r="4" spans="2:24" ht="49.2" customHeight="1" x14ac:dyDescent="0.65">
      <c r="B4" s="22" t="s">
        <v>76</v>
      </c>
      <c r="C4" s="23"/>
      <c r="D4" s="23"/>
      <c r="E4" s="24"/>
      <c r="F4" s="24"/>
      <c r="G4" s="125" t="s">
        <v>95</v>
      </c>
      <c r="H4" s="24"/>
      <c r="I4" s="22" t="s">
        <v>83</v>
      </c>
    </row>
    <row r="5" spans="2:24" ht="8.1" customHeight="1" x14ac:dyDescent="0.4">
      <c r="B5" s="23"/>
      <c r="C5" s="23"/>
      <c r="D5" s="23"/>
      <c r="E5" s="24"/>
      <c r="F5" s="24"/>
      <c r="G5" s="24"/>
      <c r="H5" s="24"/>
      <c r="I5" s="2"/>
    </row>
    <row r="6" spans="2:24" ht="21" x14ac:dyDescent="0.4">
      <c r="B6" s="23"/>
      <c r="C6" s="23"/>
      <c r="D6" s="23"/>
      <c r="E6" s="23"/>
      <c r="F6" s="23"/>
      <c r="G6" s="24"/>
      <c r="H6" s="24"/>
      <c r="I6" s="23" t="s">
        <v>84</v>
      </c>
    </row>
    <row r="7" spans="2:24" ht="8.1" customHeight="1" x14ac:dyDescent="0.4">
      <c r="B7" s="25"/>
      <c r="C7" s="25"/>
      <c r="D7" s="25"/>
      <c r="E7" s="25"/>
      <c r="F7" s="25"/>
      <c r="G7" s="24"/>
      <c r="H7" s="24"/>
    </row>
    <row r="8" spans="2:24" ht="25.2" customHeight="1" x14ac:dyDescent="0.4">
      <c r="B8" s="199" t="s">
        <v>62</v>
      </c>
      <c r="C8" s="200"/>
      <c r="D8" s="200"/>
      <c r="E8" s="200"/>
      <c r="F8" s="200"/>
      <c r="G8" s="201"/>
      <c r="H8" s="24"/>
      <c r="X8" s="147"/>
    </row>
    <row r="9" spans="2:24" ht="25.2" customHeight="1" x14ac:dyDescent="0.4">
      <c r="B9" s="133" t="s">
        <v>44</v>
      </c>
      <c r="C9" s="6"/>
      <c r="D9" s="6"/>
      <c r="E9" s="7"/>
      <c r="F9" s="6"/>
      <c r="G9" s="168">
        <v>5550000</v>
      </c>
      <c r="H9" s="24"/>
      <c r="I9" s="19"/>
    </row>
    <row r="10" spans="2:24" ht="25.2" customHeight="1" x14ac:dyDescent="0.4">
      <c r="B10" s="134" t="s">
        <v>45</v>
      </c>
      <c r="C10" s="195" t="s">
        <v>46</v>
      </c>
      <c r="D10" s="195"/>
      <c r="E10" s="195"/>
      <c r="F10" s="126">
        <v>0.05</v>
      </c>
      <c r="G10" s="10">
        <f>+F10*Kaufpreis</f>
        <v>277500</v>
      </c>
      <c r="H10" s="24"/>
      <c r="I10" s="19"/>
      <c r="J10" s="143" t="s">
        <v>79</v>
      </c>
      <c r="K10" s="144" t="s">
        <v>80</v>
      </c>
      <c r="L10" s="144" t="s">
        <v>61</v>
      </c>
      <c r="M10" s="144" t="s">
        <v>156</v>
      </c>
      <c r="N10" s="144" t="s">
        <v>8</v>
      </c>
      <c r="O10" s="144"/>
      <c r="P10" s="165" t="s">
        <v>22</v>
      </c>
    </row>
    <row r="11" spans="2:24" ht="25.2" customHeight="1" x14ac:dyDescent="0.4">
      <c r="B11" s="135" t="s">
        <v>90</v>
      </c>
      <c r="C11" s="11"/>
      <c r="D11" s="11"/>
      <c r="E11" s="11"/>
      <c r="F11" s="12"/>
      <c r="G11" s="13">
        <f>SUM(G9:G10)</f>
        <v>5827500</v>
      </c>
      <c r="H11" s="24"/>
      <c r="I11" s="19"/>
      <c r="J11" s="145" t="s">
        <v>60</v>
      </c>
      <c r="K11" s="146" t="s">
        <v>3</v>
      </c>
      <c r="L11" s="146" t="s">
        <v>81</v>
      </c>
      <c r="M11" s="146" t="s">
        <v>155</v>
      </c>
      <c r="N11" s="146" t="s">
        <v>75</v>
      </c>
      <c r="O11" s="146" t="s">
        <v>103</v>
      </c>
      <c r="P11" s="166" t="s">
        <v>9</v>
      </c>
    </row>
    <row r="12" spans="2:24" ht="10.199999999999999" customHeight="1" x14ac:dyDescent="0.4">
      <c r="B12" s="3"/>
      <c r="C12" s="25"/>
      <c r="D12" s="25"/>
      <c r="E12" s="24"/>
      <c r="F12" s="25"/>
      <c r="G12" s="4"/>
      <c r="H12" s="24"/>
      <c r="I12" s="19"/>
      <c r="J12" s="19"/>
      <c r="K12" s="19"/>
      <c r="L12" s="28"/>
      <c r="M12" s="1"/>
      <c r="N12" s="1"/>
      <c r="P12" s="19"/>
    </row>
    <row r="13" spans="2:24" ht="25.2" customHeight="1" x14ac:dyDescent="0.4">
      <c r="B13" s="206" t="s">
        <v>63</v>
      </c>
      <c r="C13" s="207"/>
      <c r="D13" s="207"/>
      <c r="E13" s="207"/>
      <c r="F13" s="207"/>
      <c r="G13" s="208"/>
      <c r="H13" s="24"/>
      <c r="I13" s="140" t="s">
        <v>32</v>
      </c>
      <c r="J13" s="175">
        <f>Detail!C16</f>
        <v>0</v>
      </c>
      <c r="K13" s="175">
        <f>Detail!D16</f>
        <v>0</v>
      </c>
      <c r="L13" s="175">
        <f>Detail!F16</f>
        <v>0</v>
      </c>
      <c r="M13" s="175">
        <f>Detail!G16</f>
        <v>0</v>
      </c>
      <c r="N13" s="175">
        <f>Detail!H16</f>
        <v>-2039625</v>
      </c>
      <c r="O13" s="120" t="s">
        <v>100</v>
      </c>
      <c r="P13" s="180">
        <f>Detail!I16</f>
        <v>-2039625</v>
      </c>
    </row>
    <row r="14" spans="2:24" ht="25.2" customHeight="1" x14ac:dyDescent="0.4">
      <c r="B14" s="136" t="s">
        <v>47</v>
      </c>
      <c r="C14" s="209"/>
      <c r="D14" s="210"/>
      <c r="E14" s="210"/>
      <c r="F14" s="14"/>
      <c r="G14" s="15">
        <f>G11</f>
        <v>5827500</v>
      </c>
      <c r="H14" s="24"/>
      <c r="I14" s="133" t="s">
        <v>33</v>
      </c>
      <c r="J14" s="176">
        <f>Detail!C17</f>
        <v>167082</v>
      </c>
      <c r="K14" s="177">
        <f>Detail!D17</f>
        <v>-189393.75</v>
      </c>
      <c r="L14" s="176">
        <f>Detail!F17</f>
        <v>-8354.1</v>
      </c>
      <c r="M14" s="176">
        <f>Detail!G17</f>
        <v>54674.393850000015</v>
      </c>
      <c r="N14" s="176">
        <f>Detail!H17</f>
        <v>0</v>
      </c>
      <c r="O14" s="121"/>
      <c r="P14" s="181">
        <f>Detail!I17</f>
        <v>24008.543850000016</v>
      </c>
    </row>
    <row r="15" spans="2:24" ht="25.2" customHeight="1" x14ac:dyDescent="0.4">
      <c r="B15" s="137" t="s">
        <v>48</v>
      </c>
      <c r="C15" s="195" t="s">
        <v>49</v>
      </c>
      <c r="D15" s="195"/>
      <c r="E15" s="195"/>
      <c r="F15" s="18">
        <f>1-F16</f>
        <v>0.35</v>
      </c>
      <c r="G15" s="10">
        <f>G11-G16</f>
        <v>2039625</v>
      </c>
      <c r="H15" s="24"/>
      <c r="I15" s="133" t="s">
        <v>34</v>
      </c>
      <c r="J15" s="176">
        <f>Detail!C18</f>
        <v>170423.64</v>
      </c>
      <c r="K15" s="177">
        <f>Detail!D18</f>
        <v>-189393.75</v>
      </c>
      <c r="L15" s="176">
        <f>Detail!F18</f>
        <v>-8521.1820000000007</v>
      </c>
      <c r="M15" s="176">
        <f>Detail!G18</f>
        <v>48284.213511375005</v>
      </c>
      <c r="N15" s="176">
        <f>Detail!H18</f>
        <v>0</v>
      </c>
      <c r="O15" s="121"/>
      <c r="P15" s="181">
        <f>Detail!I18</f>
        <v>20792.921511375018</v>
      </c>
    </row>
    <row r="16" spans="2:24" ht="25.2" customHeight="1" x14ac:dyDescent="0.4">
      <c r="B16" s="137" t="s">
        <v>50</v>
      </c>
      <c r="C16" s="196" t="s">
        <v>51</v>
      </c>
      <c r="D16" s="197"/>
      <c r="E16" s="197"/>
      <c r="F16" s="127">
        <v>0.65</v>
      </c>
      <c r="G16" s="8">
        <f>F16*G14</f>
        <v>3787875</v>
      </c>
      <c r="H16" s="24"/>
      <c r="I16" s="133" t="s">
        <v>35</v>
      </c>
      <c r="J16" s="176">
        <f>Detail!C19</f>
        <v>173832.11280000003</v>
      </c>
      <c r="K16" s="177">
        <f>Detail!D19</f>
        <v>-189393.75</v>
      </c>
      <c r="L16" s="176">
        <f>Detail!F19</f>
        <v>-8691.6056400000016</v>
      </c>
      <c r="M16" s="176">
        <f>Detail!G19</f>
        <v>42021.725595446245</v>
      </c>
      <c r="N16" s="176">
        <f>Detail!H19</f>
        <v>0</v>
      </c>
      <c r="O16" s="121"/>
      <c r="P16" s="181">
        <f>Detail!I19</f>
        <v>17768.482755446275</v>
      </c>
    </row>
    <row r="17" spans="2:23" ht="25.2" customHeight="1" x14ac:dyDescent="0.4">
      <c r="B17" s="133" t="s">
        <v>52</v>
      </c>
      <c r="C17" s="195" t="s">
        <v>53</v>
      </c>
      <c r="D17" s="195"/>
      <c r="E17" s="195"/>
      <c r="F17" s="127">
        <v>0.03</v>
      </c>
      <c r="G17" s="10">
        <f>F17*G16</f>
        <v>113636.25</v>
      </c>
      <c r="H17" s="24"/>
      <c r="I17" s="133" t="s">
        <v>36</v>
      </c>
      <c r="J17" s="176">
        <f>Detail!C20</f>
        <v>177308.75505600002</v>
      </c>
      <c r="K17" s="177">
        <f>Detail!D20</f>
        <v>-189393.75</v>
      </c>
      <c r="L17" s="176">
        <f>Detail!F20</f>
        <v>-8865.4377528000023</v>
      </c>
      <c r="M17" s="176">
        <f>Detail!G20</f>
        <v>35875.845968239235</v>
      </c>
      <c r="N17" s="176">
        <f>Detail!H20</f>
        <v>0</v>
      </c>
      <c r="O17" s="121"/>
      <c r="P17" s="181">
        <f>Detail!I20</f>
        <v>14925.413271439254</v>
      </c>
    </row>
    <row r="18" spans="2:23" ht="25.2" customHeight="1" x14ac:dyDescent="0.4">
      <c r="B18" s="133" t="s">
        <v>54</v>
      </c>
      <c r="C18" s="196" t="s">
        <v>55</v>
      </c>
      <c r="D18" s="197"/>
      <c r="E18" s="197"/>
      <c r="F18" s="127">
        <v>0.02</v>
      </c>
      <c r="G18" s="8">
        <f>F18*G16</f>
        <v>75757.5</v>
      </c>
      <c r="H18" s="24"/>
      <c r="I18" s="133" t="s">
        <v>37</v>
      </c>
      <c r="J18" s="176">
        <f>Detail!C21</f>
        <v>180854.93015712002</v>
      </c>
      <c r="K18" s="177">
        <f>Detail!D21</f>
        <v>-189393.75</v>
      </c>
      <c r="L18" s="176">
        <f>Detail!F21</f>
        <v>-9042.7465078560017</v>
      </c>
      <c r="M18" s="176">
        <f>Detail!G21</f>
        <v>29835.92481679274</v>
      </c>
      <c r="N18" s="176">
        <f>Detail!H21</f>
        <v>0</v>
      </c>
      <c r="O18" s="121"/>
      <c r="P18" s="181">
        <f>Detail!I21</f>
        <v>12254.358466056758</v>
      </c>
    </row>
    <row r="19" spans="2:23" ht="25.2" customHeight="1" x14ac:dyDescent="0.4">
      <c r="B19" s="138" t="s">
        <v>56</v>
      </c>
      <c r="C19" s="195" t="s">
        <v>57</v>
      </c>
      <c r="D19" s="195"/>
      <c r="E19" s="195"/>
      <c r="F19" s="71"/>
      <c r="G19" s="72">
        <f>G17+G18</f>
        <v>189393.75</v>
      </c>
      <c r="H19" s="24"/>
      <c r="I19" s="133" t="s">
        <v>38</v>
      </c>
      <c r="J19" s="176">
        <f>Detail!C22</f>
        <v>184472.02876026242</v>
      </c>
      <c r="K19" s="177">
        <f>Detail!D22</f>
        <v>-189393.75</v>
      </c>
      <c r="L19" s="176">
        <f>Detail!F22</f>
        <v>-9223.6014380131219</v>
      </c>
      <c r="M19" s="176">
        <f>Detail!G22</f>
        <v>23891.721758531559</v>
      </c>
      <c r="N19" s="176">
        <f>Detail!H22</f>
        <v>0</v>
      </c>
      <c r="O19" s="121"/>
      <c r="P19" s="181">
        <f>Detail!I22</f>
        <v>9746.3990807808532</v>
      </c>
    </row>
    <row r="20" spans="2:23" ht="25.2" customHeight="1" x14ac:dyDescent="0.4">
      <c r="B20" s="73"/>
      <c r="C20" s="74"/>
      <c r="D20" s="74"/>
      <c r="E20" s="75"/>
      <c r="F20" s="74"/>
      <c r="G20" s="76"/>
      <c r="H20" s="24"/>
      <c r="I20" s="133" t="s">
        <v>39</v>
      </c>
      <c r="J20" s="176">
        <f>Detail!C23</f>
        <v>188161.46933546767</v>
      </c>
      <c r="K20" s="177">
        <f>Detail!D23</f>
        <v>-189393.75</v>
      </c>
      <c r="L20" s="176">
        <f>Detail!F23</f>
        <v>-9408.0734667733832</v>
      </c>
      <c r="M20" s="176">
        <f>Detail!G23</f>
        <v>18033.382108373269</v>
      </c>
      <c r="N20" s="176">
        <f>Detail!H23</f>
        <v>0</v>
      </c>
      <c r="O20" s="121" t="s">
        <v>102</v>
      </c>
      <c r="P20" s="181">
        <f>Detail!I23</f>
        <v>7393.027977067557</v>
      </c>
    </row>
    <row r="21" spans="2:23" ht="25.2" customHeight="1" x14ac:dyDescent="0.4">
      <c r="B21" s="199" t="s">
        <v>64</v>
      </c>
      <c r="C21" s="200"/>
      <c r="D21" s="200"/>
      <c r="E21" s="200"/>
      <c r="F21" s="200"/>
      <c r="G21" s="201"/>
      <c r="H21" s="24"/>
      <c r="I21" s="133" t="s">
        <v>40</v>
      </c>
      <c r="J21" s="176">
        <f>Detail!C24</f>
        <v>191924.69872217704</v>
      </c>
      <c r="K21" s="177">
        <f>Detail!D24</f>
        <v>-189393.75</v>
      </c>
      <c r="L21" s="176">
        <f>Detail!F24</f>
        <v>-9596.2349361088527</v>
      </c>
      <c r="M21" s="176">
        <f>Detail!G24</f>
        <v>12251.414243247058</v>
      </c>
      <c r="N21" s="176">
        <f>Detail!H24</f>
        <v>0</v>
      </c>
      <c r="O21" s="121" t="s">
        <v>101</v>
      </c>
      <c r="P21" s="181">
        <f>Detail!I24</f>
        <v>5186.1280293152449</v>
      </c>
      <c r="V21" t="s">
        <v>110</v>
      </c>
      <c r="W21" s="5">
        <f>Kaltmiete/Kaufpreis</f>
        <v>3.0104864864864866E-2</v>
      </c>
    </row>
    <row r="22" spans="2:23" ht="25.2" customHeight="1" x14ac:dyDescent="0.4">
      <c r="B22" s="133" t="s">
        <v>58</v>
      </c>
      <c r="C22" s="195" t="s">
        <v>148</v>
      </c>
      <c r="D22" s="195"/>
      <c r="E22" s="195"/>
      <c r="F22" s="9"/>
      <c r="G22" s="8">
        <f>+G42</f>
        <v>167082</v>
      </c>
      <c r="H22" s="24"/>
      <c r="I22" s="133" t="s">
        <v>41</v>
      </c>
      <c r="J22" s="176">
        <f>Detail!C25</f>
        <v>195763.19269662059</v>
      </c>
      <c r="K22" s="177">
        <f>Detail!D25</f>
        <v>-189393.75</v>
      </c>
      <c r="L22" s="176">
        <f>Detail!F25</f>
        <v>-9788.1596348310304</v>
      </c>
      <c r="M22" s="176">
        <f>Detail!G25</f>
        <v>6536.6680066492545</v>
      </c>
      <c r="N22" s="176">
        <f>Detail!H25</f>
        <v>0</v>
      </c>
      <c r="O22" s="121" t="s">
        <v>106</v>
      </c>
      <c r="P22" s="181">
        <f>Detail!I25</f>
        <v>3117.9510684388179</v>
      </c>
      <c r="V22" t="s">
        <v>152</v>
      </c>
      <c r="W22" s="5">
        <f>+J23/O23</f>
        <v>3.1001150070355588E-2</v>
      </c>
    </row>
    <row r="23" spans="2:23" ht="25.2" customHeight="1" x14ac:dyDescent="0.4">
      <c r="B23" s="134" t="s">
        <v>65</v>
      </c>
      <c r="C23" s="195" t="s">
        <v>59</v>
      </c>
      <c r="D23" s="195"/>
      <c r="E23" s="195"/>
      <c r="F23" s="126">
        <v>0.05</v>
      </c>
      <c r="G23" s="10">
        <f>-F23*G22</f>
        <v>-8354.1</v>
      </c>
      <c r="H23" s="24"/>
      <c r="I23" s="139" t="s">
        <v>42</v>
      </c>
      <c r="J23" s="178">
        <f>Detail!C26</f>
        <v>199678.456550553</v>
      </c>
      <c r="K23" s="179">
        <f>Detail!D26</f>
        <v>-189393.75</v>
      </c>
      <c r="L23" s="178">
        <f>Detail!F26</f>
        <v>-9983.922827527651</v>
      </c>
      <c r="M23" s="178">
        <f>Detail!G26</f>
        <v>880.31409865723606</v>
      </c>
      <c r="N23" s="178">
        <f>Detail!H26</f>
        <v>3521601.4158283188</v>
      </c>
      <c r="O23" s="122">
        <f>+Kaufpreis*(1+Steigerung_Immobilienwert)^10</f>
        <v>6441001.5788895749</v>
      </c>
      <c r="P23" s="182">
        <f>Detail!I26</f>
        <v>3522782.5136500015</v>
      </c>
    </row>
    <row r="24" spans="2:23" ht="25.2" customHeight="1" x14ac:dyDescent="0.4">
      <c r="B24" s="73"/>
      <c r="C24" s="74"/>
      <c r="D24" s="74"/>
      <c r="E24" s="75"/>
      <c r="F24" s="74"/>
      <c r="G24" s="76"/>
      <c r="H24" s="24"/>
    </row>
    <row r="25" spans="2:23" ht="25.2" customHeight="1" x14ac:dyDescent="0.4">
      <c r="B25" s="199" t="s">
        <v>66</v>
      </c>
      <c r="C25" s="200"/>
      <c r="D25" s="200"/>
      <c r="E25" s="200"/>
      <c r="F25" s="200"/>
      <c r="G25" s="201"/>
      <c r="H25" s="24"/>
      <c r="I25" s="192" t="s">
        <v>82</v>
      </c>
      <c r="J25" s="193"/>
      <c r="K25" s="193"/>
      <c r="L25" s="193"/>
      <c r="M25" s="193"/>
      <c r="N25" s="193"/>
      <c r="O25" s="193"/>
      <c r="P25" s="194"/>
    </row>
    <row r="26" spans="2:23" ht="25.2" customHeight="1" x14ac:dyDescent="0.4">
      <c r="B26" s="133" t="s">
        <v>68</v>
      </c>
      <c r="C26" s="195" t="s">
        <v>96</v>
      </c>
      <c r="D26" s="195"/>
      <c r="E26" s="195"/>
      <c r="F26" s="167">
        <v>0.55000000000000004</v>
      </c>
      <c r="G26" s="10">
        <f>G11*F26</f>
        <v>3205125.0000000005</v>
      </c>
      <c r="H26" s="24"/>
      <c r="I26" s="141" t="s">
        <v>158</v>
      </c>
      <c r="J26" s="174" t="s">
        <v>98</v>
      </c>
      <c r="K26" s="92"/>
      <c r="L26" s="92"/>
      <c r="M26" s="92"/>
      <c r="N26" s="92"/>
      <c r="O26" s="92"/>
      <c r="P26" s="131">
        <f>Detail!I28</f>
        <v>6.1142638527152293E-2</v>
      </c>
    </row>
    <row r="27" spans="2:23" ht="25.2" customHeight="1" x14ac:dyDescent="0.4">
      <c r="B27" s="133" t="s">
        <v>69</v>
      </c>
      <c r="C27" s="195" t="s">
        <v>85</v>
      </c>
      <c r="D27" s="195"/>
      <c r="E27" s="195"/>
      <c r="F27" s="16">
        <v>0.05</v>
      </c>
      <c r="G27" s="10"/>
      <c r="H27" s="24"/>
      <c r="I27" s="150" t="s">
        <v>114</v>
      </c>
      <c r="J27" s="151" t="s">
        <v>159</v>
      </c>
      <c r="K27" s="151"/>
      <c r="L27" s="151"/>
      <c r="M27" s="151"/>
      <c r="N27" s="151"/>
      <c r="O27" s="151"/>
      <c r="P27" s="131">
        <f>Detail!I29</f>
        <v>8.3046028559799381E-2</v>
      </c>
    </row>
    <row r="28" spans="2:23" ht="25.2" customHeight="1" x14ac:dyDescent="0.4">
      <c r="B28" s="133" t="s">
        <v>70</v>
      </c>
      <c r="C28" s="196" t="s">
        <v>73</v>
      </c>
      <c r="D28" s="197"/>
      <c r="E28" s="197"/>
      <c r="F28" s="16">
        <v>0.03</v>
      </c>
      <c r="G28" s="10"/>
      <c r="H28" s="24"/>
      <c r="I28" s="142" t="s">
        <v>22</v>
      </c>
      <c r="J28" s="92" t="s">
        <v>112</v>
      </c>
      <c r="K28" s="92"/>
      <c r="L28" s="92"/>
      <c r="M28" s="92"/>
      <c r="N28" s="92"/>
      <c r="O28" s="92"/>
      <c r="P28" s="148">
        <f>SUM(P13:P23)</f>
        <v>1598350.7396599215</v>
      </c>
    </row>
    <row r="29" spans="2:23" ht="25.2" customHeight="1" x14ac:dyDescent="0.4">
      <c r="B29" s="133" t="s">
        <v>71</v>
      </c>
      <c r="C29" s="196" t="s">
        <v>72</v>
      </c>
      <c r="D29" s="197"/>
      <c r="E29" s="197"/>
      <c r="F29" s="16">
        <v>0.05</v>
      </c>
      <c r="G29" s="129" t="s">
        <v>78</v>
      </c>
      <c r="H29" s="24"/>
      <c r="I29" s="149" t="s">
        <v>113</v>
      </c>
      <c r="J29" s="93" t="s">
        <v>151</v>
      </c>
      <c r="K29" s="93"/>
      <c r="L29" s="93"/>
      <c r="M29" s="93"/>
      <c r="N29" s="93"/>
      <c r="O29" s="93"/>
      <c r="P29" s="152">
        <f>(-N13+P28)/(-N13)</f>
        <v>1.7836493177225821</v>
      </c>
    </row>
    <row r="30" spans="2:23" ht="25.2" customHeight="1" x14ac:dyDescent="0.4">
      <c r="B30" s="134" t="s">
        <v>74</v>
      </c>
      <c r="C30" s="202" t="s">
        <v>67</v>
      </c>
      <c r="D30" s="195"/>
      <c r="E30" s="195"/>
      <c r="F30" s="127">
        <v>0.47475000000000001</v>
      </c>
      <c r="G30" s="10"/>
      <c r="H30" s="24"/>
    </row>
    <row r="31" spans="2:23" ht="25.2" customHeight="1" x14ac:dyDescent="0.4">
      <c r="B31" s="77"/>
      <c r="C31" s="78"/>
      <c r="D31" s="74"/>
      <c r="E31" s="75"/>
      <c r="F31" s="79"/>
      <c r="G31" s="80"/>
      <c r="H31" s="24"/>
    </row>
    <row r="32" spans="2:23" ht="25.2" customHeight="1" x14ac:dyDescent="0.55000000000000004">
      <c r="B32" s="199" t="s">
        <v>111</v>
      </c>
      <c r="C32" s="200"/>
      <c r="D32" s="200"/>
      <c r="E32" s="200"/>
      <c r="F32" s="200"/>
      <c r="G32" s="201"/>
      <c r="H32" s="24"/>
      <c r="I32" s="188" t="s">
        <v>157</v>
      </c>
    </row>
    <row r="33" spans="2:10" ht="25.2" customHeight="1" x14ac:dyDescent="0.4">
      <c r="B33" s="133" t="s">
        <v>0</v>
      </c>
      <c r="C33" s="195" t="s">
        <v>87</v>
      </c>
      <c r="D33" s="195"/>
      <c r="E33" s="195"/>
      <c r="F33" s="126">
        <v>0.02</v>
      </c>
      <c r="G33" s="17"/>
      <c r="H33" s="24"/>
    </row>
    <row r="34" spans="2:10" ht="25.2" customHeight="1" x14ac:dyDescent="0.4">
      <c r="B34" s="139" t="s">
        <v>1</v>
      </c>
      <c r="C34" s="198" t="s">
        <v>88</v>
      </c>
      <c r="D34" s="198"/>
      <c r="E34" s="198"/>
      <c r="F34" s="130">
        <v>1.4999999999999999E-2</v>
      </c>
      <c r="G34" s="13"/>
      <c r="H34" s="24"/>
    </row>
    <row r="35" spans="2:10" ht="25.2" customHeight="1" x14ac:dyDescent="0.4">
      <c r="B35" s="26"/>
      <c r="C35" s="27"/>
      <c r="D35" s="25"/>
      <c r="E35" s="24"/>
      <c r="F35" s="25"/>
      <c r="G35" s="29"/>
      <c r="H35" s="24"/>
    </row>
    <row r="36" spans="2:10" ht="24" customHeight="1" x14ac:dyDescent="0.4">
      <c r="B36" s="189" t="s">
        <v>145</v>
      </c>
      <c r="C36" s="190"/>
      <c r="D36" s="190"/>
      <c r="E36" s="190"/>
      <c r="F36" s="190"/>
      <c r="G36" s="191"/>
      <c r="J36" s="128"/>
    </row>
    <row r="37" spans="2:10" ht="25.2" customHeight="1" x14ac:dyDescent="0.4">
      <c r="B37" s="169" t="s">
        <v>153</v>
      </c>
      <c r="C37" s="169" t="s">
        <v>149</v>
      </c>
      <c r="D37" s="170" t="s">
        <v>150</v>
      </c>
      <c r="E37" s="170" t="s">
        <v>147</v>
      </c>
      <c r="F37" s="170" t="s">
        <v>146</v>
      </c>
      <c r="G37" s="184" t="s">
        <v>144</v>
      </c>
    </row>
    <row r="38" spans="2:10" ht="25.2" customHeight="1" x14ac:dyDescent="0.4">
      <c r="B38" s="133" t="s">
        <v>161</v>
      </c>
      <c r="C38" s="171">
        <v>123.60000000000001</v>
      </c>
      <c r="D38" s="172">
        <v>30</v>
      </c>
      <c r="E38" s="172">
        <v>100</v>
      </c>
      <c r="F38" s="173">
        <f>+D38*C38</f>
        <v>3708.0000000000005</v>
      </c>
      <c r="G38" s="183">
        <f>(F38+E38)*12</f>
        <v>45696.000000000007</v>
      </c>
    </row>
    <row r="39" spans="2:10" ht="21" x14ac:dyDescent="0.4">
      <c r="B39" s="133" t="s">
        <v>162</v>
      </c>
      <c r="C39" s="171">
        <v>138.6</v>
      </c>
      <c r="D39" s="172">
        <v>30</v>
      </c>
      <c r="E39" s="172">
        <v>100</v>
      </c>
      <c r="F39" s="173">
        <f t="shared" ref="F39:F41" si="0">+D39*C39</f>
        <v>4158</v>
      </c>
      <c r="G39" s="183">
        <f t="shared" ref="G39:G41" si="1">(F39+E39)*12</f>
        <v>51096</v>
      </c>
    </row>
    <row r="40" spans="2:10" ht="21" x14ac:dyDescent="0.4">
      <c r="B40" s="133" t="s">
        <v>163</v>
      </c>
      <c r="C40" s="216">
        <v>124</v>
      </c>
      <c r="D40" s="172">
        <v>30</v>
      </c>
      <c r="E40" s="172">
        <v>100</v>
      </c>
      <c r="F40" s="173">
        <f t="shared" si="0"/>
        <v>3720</v>
      </c>
      <c r="G40" s="183">
        <f t="shared" si="1"/>
        <v>45840</v>
      </c>
    </row>
    <row r="41" spans="2:10" ht="21" x14ac:dyDescent="0.4">
      <c r="B41" s="133" t="s">
        <v>164</v>
      </c>
      <c r="C41" s="171">
        <v>62.5</v>
      </c>
      <c r="D41" s="172">
        <v>31</v>
      </c>
      <c r="E41" s="172">
        <v>100</v>
      </c>
      <c r="F41" s="173">
        <f t="shared" si="0"/>
        <v>1937.5</v>
      </c>
      <c r="G41" s="183">
        <f t="shared" si="1"/>
        <v>24450</v>
      </c>
    </row>
    <row r="42" spans="2:10" ht="26.4" customHeight="1" x14ac:dyDescent="0.4">
      <c r="B42" s="185" t="s">
        <v>154</v>
      </c>
      <c r="C42" s="186"/>
      <c r="D42" s="186"/>
      <c r="E42" s="186"/>
      <c r="F42" s="186"/>
      <c r="G42" s="187">
        <f>SUM(G38:G41)</f>
        <v>167082</v>
      </c>
    </row>
    <row r="59" spans="7:8" ht="19.2" customHeight="1" x14ac:dyDescent="0.3">
      <c r="G59" s="5"/>
    </row>
    <row r="60" spans="7:8" x14ac:dyDescent="0.3">
      <c r="H60" s="5"/>
    </row>
    <row r="62" spans="7:8" x14ac:dyDescent="0.3">
      <c r="G62" t="s">
        <v>77</v>
      </c>
    </row>
    <row r="63" spans="7:8" x14ac:dyDescent="0.3">
      <c r="G63" t="s">
        <v>78</v>
      </c>
    </row>
    <row r="68" spans="6:6" x14ac:dyDescent="0.3">
      <c r="F68" s="5"/>
    </row>
  </sheetData>
  <mergeCells count="24">
    <mergeCell ref="C19:E19"/>
    <mergeCell ref="B21:G21"/>
    <mergeCell ref="C22:E22"/>
    <mergeCell ref="C23:E23"/>
    <mergeCell ref="C2:G2"/>
    <mergeCell ref="B13:G13"/>
    <mergeCell ref="C14:E14"/>
    <mergeCell ref="C15:E15"/>
    <mergeCell ref="C16:E16"/>
    <mergeCell ref="C17:E17"/>
    <mergeCell ref="C18:E18"/>
    <mergeCell ref="B8:G8"/>
    <mergeCell ref="C10:E10"/>
    <mergeCell ref="B36:G36"/>
    <mergeCell ref="I25:P25"/>
    <mergeCell ref="C26:E26"/>
    <mergeCell ref="C28:E28"/>
    <mergeCell ref="C29:E29"/>
    <mergeCell ref="C34:E34"/>
    <mergeCell ref="B25:G25"/>
    <mergeCell ref="C27:E27"/>
    <mergeCell ref="B32:G32"/>
    <mergeCell ref="C30:E30"/>
    <mergeCell ref="C33:E33"/>
  </mergeCells>
  <phoneticPr fontId="35" type="noConversion"/>
  <conditionalFormatting sqref="X8">
    <cfRule type="expression" dxfId="0" priority="1">
      <formula>"&lt;0"</formula>
    </cfRule>
  </conditionalFormatting>
  <dataValidations count="1">
    <dataValidation type="list" allowBlank="1" showInputMessage="1" showErrorMessage="1" sqref="G29" xr:uid="{8EFAD078-2E6E-407C-A45F-6D5BD7EE4CAA}">
      <formula1>$G$62:$G$63</formula1>
    </dataValidation>
  </dataValidations>
  <printOptions horizontalCentered="1" verticalCentered="1"/>
  <pageMargins left="0.25" right="0.25" top="0.75" bottom="0.75" header="0.3" footer="0.3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EA1C-86FE-47B3-A5B4-915B0F620C5A}">
  <sheetPr>
    <tabColor theme="2" tint="-9.9978637043366805E-2"/>
    <pageSetUpPr fitToPage="1"/>
  </sheetPr>
  <dimension ref="B2:AD43"/>
  <sheetViews>
    <sheetView zoomScale="70" zoomScaleNormal="70" zoomScaleSheetLayoutView="55" workbookViewId="0">
      <pane xSplit="2" ySplit="15" topLeftCell="C16" activePane="bottomRight" state="frozen"/>
      <selection pane="topRight" activeCell="C1" sqref="C1"/>
      <selection pane="bottomLeft" activeCell="A13" sqref="A13"/>
      <selection pane="bottomRight" activeCell="AA17" sqref="AA17"/>
    </sheetView>
  </sheetViews>
  <sheetFormatPr baseColWidth="10" defaultColWidth="11.44140625" defaultRowHeight="14.4" outlineLevelCol="1" x14ac:dyDescent="0.3"/>
  <cols>
    <col min="1" max="1" width="2.44140625" style="30" customWidth="1"/>
    <col min="2" max="2" width="22.33203125" style="30" customWidth="1"/>
    <col min="3" max="3" width="15.6640625" style="30" bestFit="1" customWidth="1"/>
    <col min="4" max="4" width="17.33203125" style="30" customWidth="1"/>
    <col min="5" max="5" width="21.33203125" style="30" hidden="1" customWidth="1" outlineLevel="1"/>
    <col min="6" max="6" width="15.44140625" style="30" customWidth="1" collapsed="1"/>
    <col min="7" max="7" width="14.33203125" style="30" bestFit="1" customWidth="1"/>
    <col min="8" max="8" width="18" style="30" bestFit="1" customWidth="1"/>
    <col min="9" max="9" width="15.33203125" style="30" bestFit="1" customWidth="1"/>
    <col min="10" max="10" width="6.44140625" style="30" customWidth="1"/>
    <col min="11" max="11" width="17.109375" style="30" customWidth="1"/>
    <col min="12" max="14" width="17.44140625" style="30" customWidth="1"/>
    <col min="15" max="16" width="15.33203125" style="30" hidden="1" customWidth="1" outlineLevel="1"/>
    <col min="17" max="17" width="12.6640625" style="30" hidden="1" customWidth="1" outlineLevel="1"/>
    <col min="18" max="18" width="17" style="30" hidden="1" customWidth="1" outlineLevel="1"/>
    <col min="19" max="19" width="4.6640625" style="30" hidden="1" customWidth="1" outlineLevel="1"/>
    <col min="20" max="20" width="16" style="30" customWidth="1" collapsed="1"/>
    <col min="21" max="21" width="14" style="30" customWidth="1"/>
    <col min="22" max="22" width="15.5546875" style="30" customWidth="1"/>
    <col min="23" max="24" width="14" style="30" customWidth="1"/>
    <col min="25" max="25" width="14.5546875" style="30" bestFit="1" customWidth="1"/>
    <col min="26" max="26" width="22.6640625" style="30" customWidth="1"/>
    <col min="27" max="27" width="11.44140625" style="30"/>
    <col min="28" max="28" width="13.5546875" style="30" bestFit="1" customWidth="1"/>
    <col min="29" max="29" width="13.44140625" style="30" bestFit="1" customWidth="1"/>
    <col min="30" max="16384" width="11.44140625" style="30"/>
  </cols>
  <sheetData>
    <row r="2" spans="2:29" ht="36.75" customHeight="1" x14ac:dyDescent="0.3">
      <c r="B2" s="114" t="str">
        <f>Übersicht!C2</f>
        <v>Mehrfamilienhaus Wastelbauerstraße 10, Obermenzing</v>
      </c>
      <c r="C2" s="115"/>
      <c r="D2" s="116"/>
      <c r="E2" s="117"/>
    </row>
    <row r="5" spans="2:29" s="47" customFormat="1" ht="27.45" customHeight="1" x14ac:dyDescent="0.65">
      <c r="B5" s="22" t="s">
        <v>83</v>
      </c>
      <c r="C5" s="59"/>
      <c r="D5" s="59"/>
      <c r="E5" s="59"/>
    </row>
    <row r="6" spans="2:29" ht="9.4499999999999993" customHeight="1" x14ac:dyDescent="0.35">
      <c r="B6" s="46"/>
      <c r="C6" s="59"/>
      <c r="D6" s="59"/>
      <c r="E6" s="59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2:29" ht="27.45" customHeight="1" x14ac:dyDescent="0.4">
      <c r="B7" s="23" t="s">
        <v>84</v>
      </c>
      <c r="C7" s="59"/>
      <c r="D7" s="59"/>
      <c r="E7" s="59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2:29" x14ac:dyDescent="0.3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2:29" ht="27.75" customHeight="1" x14ac:dyDescent="0.3">
      <c r="E9" s="48"/>
      <c r="F9" s="35"/>
      <c r="G9" s="47" t="s">
        <v>0</v>
      </c>
      <c r="H9" s="47"/>
      <c r="I9" s="34">
        <f>Steigerung_Miete</f>
        <v>0.02</v>
      </c>
      <c r="J9" s="47"/>
      <c r="K9" s="211" t="s">
        <v>91</v>
      </c>
      <c r="L9" s="212"/>
      <c r="M9" s="212"/>
      <c r="N9" s="213"/>
      <c r="O9" s="214" t="s">
        <v>92</v>
      </c>
      <c r="P9" s="215"/>
      <c r="Q9" s="215"/>
      <c r="R9" s="215"/>
      <c r="S9" s="118"/>
      <c r="T9" s="211" t="s">
        <v>2</v>
      </c>
      <c r="U9" s="212"/>
      <c r="V9" s="212"/>
      <c r="W9" s="212"/>
      <c r="X9" s="212"/>
      <c r="Y9" s="212"/>
      <c r="Z9" s="212"/>
      <c r="AA9" s="212"/>
      <c r="AB9" s="212"/>
      <c r="AC9" s="213"/>
    </row>
    <row r="10" spans="2:29" x14ac:dyDescent="0.3">
      <c r="E10" s="48"/>
      <c r="F10" s="35"/>
      <c r="G10" s="47" t="s">
        <v>1</v>
      </c>
      <c r="H10" s="47"/>
      <c r="I10" s="36">
        <f>Steigerung_Immobilienwert</f>
        <v>1.4999999999999999E-2</v>
      </c>
      <c r="J10" s="47"/>
      <c r="K10" s="85"/>
      <c r="L10" s="60"/>
      <c r="M10" s="60"/>
      <c r="N10" s="86"/>
      <c r="O10" s="60"/>
      <c r="P10" s="60"/>
      <c r="Q10" s="60"/>
      <c r="R10" s="60"/>
      <c r="S10" s="47"/>
      <c r="T10" s="85"/>
      <c r="U10" s="51"/>
      <c r="V10" s="51"/>
      <c r="W10" s="51"/>
      <c r="X10" s="47"/>
      <c r="Y10" s="50"/>
      <c r="Z10" s="51"/>
      <c r="AA10" s="51"/>
      <c r="AB10" s="51"/>
      <c r="AC10" s="91"/>
    </row>
    <row r="11" spans="2:29" ht="15" customHeight="1" x14ac:dyDescent="0.3">
      <c r="C11" s="47"/>
      <c r="D11" s="52"/>
      <c r="E11" s="52" t="s">
        <v>3</v>
      </c>
      <c r="F11" s="37"/>
      <c r="G11" s="35"/>
      <c r="H11" s="49"/>
      <c r="I11" s="47"/>
      <c r="J11" s="47"/>
      <c r="K11" s="87"/>
      <c r="L11" s="47"/>
      <c r="M11" s="47"/>
      <c r="N11" s="88"/>
      <c r="O11" s="47"/>
      <c r="P11" s="47"/>
      <c r="Q11" s="47"/>
      <c r="R11" s="47"/>
      <c r="S11" s="47"/>
      <c r="T11" s="87"/>
      <c r="U11" s="47"/>
      <c r="V11" s="47"/>
      <c r="W11" s="47"/>
      <c r="X11" s="47"/>
      <c r="Y11" s="47"/>
      <c r="Z11" s="47"/>
      <c r="AA11" s="47"/>
      <c r="AB11" s="47"/>
      <c r="AC11" s="94" t="s">
        <v>104</v>
      </c>
    </row>
    <row r="12" spans="2:29" ht="15" customHeight="1" x14ac:dyDescent="0.3">
      <c r="C12" s="61" t="s">
        <v>4</v>
      </c>
      <c r="D12" s="61" t="s">
        <v>5</v>
      </c>
      <c r="E12" s="61" t="s">
        <v>6</v>
      </c>
      <c r="F12" s="61" t="s">
        <v>7</v>
      </c>
      <c r="G12" s="61"/>
      <c r="H12" s="61" t="s">
        <v>8</v>
      </c>
      <c r="I12" s="61" t="s">
        <v>9</v>
      </c>
      <c r="J12" s="47"/>
      <c r="K12" s="61" t="s">
        <v>93</v>
      </c>
      <c r="L12" s="62" t="s">
        <v>3</v>
      </c>
      <c r="M12" s="62" t="s">
        <v>24</v>
      </c>
      <c r="N12" s="81" t="s">
        <v>94</v>
      </c>
      <c r="O12" s="83" t="s">
        <v>10</v>
      </c>
      <c r="P12" s="62"/>
      <c r="Q12" s="62"/>
      <c r="R12" s="62" t="s">
        <v>11</v>
      </c>
      <c r="S12" s="89"/>
      <c r="T12" s="61" t="s">
        <v>79</v>
      </c>
      <c r="U12" s="62" t="s">
        <v>7</v>
      </c>
      <c r="V12" s="62"/>
      <c r="W12" s="62" t="s">
        <v>12</v>
      </c>
      <c r="X12" s="62" t="s">
        <v>12</v>
      </c>
      <c r="Y12" s="62" t="s">
        <v>13</v>
      </c>
      <c r="Z12" s="62" t="s">
        <v>14</v>
      </c>
      <c r="AA12" s="62" t="s">
        <v>15</v>
      </c>
      <c r="AB12" s="62" t="s">
        <v>16</v>
      </c>
      <c r="AC12" s="81" t="s">
        <v>17</v>
      </c>
    </row>
    <row r="13" spans="2:29" ht="15" customHeight="1" x14ac:dyDescent="0.3">
      <c r="C13" s="63" t="s">
        <v>18</v>
      </c>
      <c r="D13" s="63" t="s">
        <v>19</v>
      </c>
      <c r="E13" s="63" t="s">
        <v>19</v>
      </c>
      <c r="F13" s="63" t="s">
        <v>20</v>
      </c>
      <c r="G13" s="63" t="s">
        <v>15</v>
      </c>
      <c r="H13" s="63" t="s">
        <v>21</v>
      </c>
      <c r="I13" s="63" t="s">
        <v>22</v>
      </c>
      <c r="J13" s="47"/>
      <c r="K13" s="63"/>
      <c r="L13" s="64"/>
      <c r="M13" s="64"/>
      <c r="N13" s="82"/>
      <c r="O13" s="84" t="s">
        <v>23</v>
      </c>
      <c r="P13" s="64" t="s">
        <v>3</v>
      </c>
      <c r="Q13" s="64" t="s">
        <v>24</v>
      </c>
      <c r="R13" s="64" t="s">
        <v>25</v>
      </c>
      <c r="S13" s="90"/>
      <c r="T13" s="63"/>
      <c r="U13" s="64" t="s">
        <v>20</v>
      </c>
      <c r="V13" s="64" t="s">
        <v>26</v>
      </c>
      <c r="W13" s="64" t="s">
        <v>27</v>
      </c>
      <c r="X13" s="64" t="s">
        <v>28</v>
      </c>
      <c r="Y13" s="64" t="s">
        <v>29</v>
      </c>
      <c r="Z13" s="64" t="s">
        <v>30</v>
      </c>
      <c r="AA13" s="64"/>
      <c r="AB13" s="64" t="s">
        <v>31</v>
      </c>
      <c r="AC13" s="82"/>
    </row>
    <row r="14" spans="2:29" ht="15" customHeight="1" x14ac:dyDescent="0.3">
      <c r="B14" s="53"/>
      <c r="C14" s="52"/>
      <c r="D14" s="52"/>
      <c r="E14" s="52"/>
      <c r="F14" s="52"/>
      <c r="G14" s="52"/>
      <c r="H14" s="47"/>
      <c r="I14" s="54"/>
      <c r="J14" s="47"/>
      <c r="K14" s="119"/>
      <c r="L14" s="52"/>
      <c r="M14" s="52"/>
      <c r="N14" s="52"/>
      <c r="O14" s="52"/>
      <c r="P14" s="52"/>
      <c r="Q14" s="52"/>
      <c r="R14" s="52"/>
      <c r="S14" s="47"/>
      <c r="T14" s="110"/>
      <c r="U14" s="37"/>
      <c r="V14" s="52"/>
      <c r="W14" s="38">
        <f>Übersicht!F28</f>
        <v>0.03</v>
      </c>
      <c r="X14" s="38">
        <f>Übersicht!F27</f>
        <v>0.05</v>
      </c>
      <c r="Y14" s="39">
        <f>IF(Übersicht!G29="möglich",5%,0)</f>
        <v>0</v>
      </c>
      <c r="Z14" s="52"/>
      <c r="AA14" s="40">
        <f>persönlicher_Steuersatz</f>
        <v>0.47475000000000001</v>
      </c>
      <c r="AB14" s="47"/>
      <c r="AC14" s="88"/>
    </row>
    <row r="15" spans="2:29" ht="15" customHeight="1" x14ac:dyDescent="0.3">
      <c r="B15" s="65"/>
      <c r="C15" s="43"/>
      <c r="D15" s="43"/>
      <c r="E15" s="43"/>
      <c r="F15" s="43"/>
      <c r="G15" s="43"/>
      <c r="H15" s="43"/>
      <c r="I15" s="66"/>
      <c r="J15" s="47"/>
      <c r="K15" s="87"/>
      <c r="L15" s="47"/>
      <c r="M15" s="47"/>
      <c r="N15" s="47"/>
      <c r="O15" s="47"/>
      <c r="P15" s="47"/>
      <c r="Q15" s="47"/>
      <c r="R15" s="47"/>
      <c r="S15" s="47"/>
      <c r="T15" s="87"/>
      <c r="U15" s="47"/>
      <c r="V15" s="47"/>
      <c r="W15" s="47"/>
      <c r="X15" s="47"/>
      <c r="Y15" s="47"/>
      <c r="Z15" s="47"/>
      <c r="AA15" s="47"/>
      <c r="AB15" s="47"/>
      <c r="AC15" s="88"/>
    </row>
    <row r="16" spans="2:29" ht="16.95" customHeight="1" x14ac:dyDescent="0.3">
      <c r="B16" s="67" t="s">
        <v>32</v>
      </c>
      <c r="C16" s="44"/>
      <c r="D16" s="44"/>
      <c r="E16" s="44"/>
      <c r="F16" s="44"/>
      <c r="G16" s="44"/>
      <c r="H16" s="44">
        <f>-Eigenkapital</f>
        <v>-2039625</v>
      </c>
      <c r="I16" s="68">
        <f t="shared" ref="I16:I26" si="0">SUM(C16:H16)</f>
        <v>-2039625</v>
      </c>
      <c r="J16" s="47"/>
      <c r="K16" s="33"/>
      <c r="L16" s="31"/>
      <c r="M16" s="31"/>
      <c r="N16" s="31"/>
      <c r="O16" s="31"/>
      <c r="P16" s="31"/>
      <c r="Q16" s="31"/>
      <c r="R16" s="31"/>
      <c r="S16" s="31"/>
      <c r="T16" s="33"/>
      <c r="U16" s="31"/>
      <c r="V16" s="31"/>
      <c r="W16" s="31"/>
      <c r="X16" s="31"/>
      <c r="Y16" s="31"/>
      <c r="Z16" s="31"/>
      <c r="AA16" s="31"/>
      <c r="AB16" s="43">
        <f>Abschreibungsgrundlage</f>
        <v>3205125.0000000005</v>
      </c>
      <c r="AC16" s="32"/>
    </row>
    <row r="17" spans="2:30" ht="16.95" customHeight="1" x14ac:dyDescent="0.3">
      <c r="B17" s="67" t="s">
        <v>33</v>
      </c>
      <c r="C17" s="44">
        <f>Kaltmiete</f>
        <v>167082</v>
      </c>
      <c r="D17" s="44">
        <f>L17</f>
        <v>-189393.75</v>
      </c>
      <c r="E17" s="44">
        <f t="shared" ref="E17:E26" si="1">P17</f>
        <v>0</v>
      </c>
      <c r="F17" s="44">
        <f t="shared" ref="F17:F26" si="2">-Bewirtschaftung_prozentual*C17</f>
        <v>-8354.1</v>
      </c>
      <c r="G17" s="44">
        <f>-AA17</f>
        <v>54674.393850000015</v>
      </c>
      <c r="H17" s="44"/>
      <c r="I17" s="68">
        <f t="shared" si="0"/>
        <v>24008.543850000016</v>
      </c>
      <c r="J17" s="47"/>
      <c r="K17" s="67">
        <f>Fremdkapital</f>
        <v>3787875</v>
      </c>
      <c r="L17" s="44">
        <f>-Annuität_p.a.</f>
        <v>-189393.75</v>
      </c>
      <c r="M17" s="44">
        <f t="shared" ref="M17:M26" si="3">-Zins_p.a.*K17</f>
        <v>-113636.25</v>
      </c>
      <c r="N17" s="44">
        <f>L17-M17</f>
        <v>-75757.5</v>
      </c>
      <c r="O17" s="44"/>
      <c r="P17" s="44"/>
      <c r="Q17" s="44"/>
      <c r="R17" s="44"/>
      <c r="S17" s="47"/>
      <c r="T17" s="67">
        <f t="shared" ref="T17:T26" si="4">C17</f>
        <v>167082</v>
      </c>
      <c r="U17" s="44">
        <f t="shared" ref="U17:U26" si="5">F17</f>
        <v>-8354.1</v>
      </c>
      <c r="V17" s="44">
        <f t="shared" ref="V17:V26" si="6">M17+Q17</f>
        <v>-113636.25</v>
      </c>
      <c r="W17" s="44">
        <f t="shared" ref="W17:W26" si="7">-$W$14*$AB$16</f>
        <v>-96153.750000000015</v>
      </c>
      <c r="X17" s="44">
        <f>-$X$14*AB16</f>
        <v>-160256.25000000003</v>
      </c>
      <c r="Y17" s="44">
        <f>-$Y$14*AB16</f>
        <v>0</v>
      </c>
      <c r="Z17" s="44">
        <f>T17+V17+U17+MIN(X17,W17)+Y17</f>
        <v>-115164.60000000003</v>
      </c>
      <c r="AA17" s="44">
        <f t="shared" ref="AA17:AA26" si="8">$AA$14*Z17</f>
        <v>-54674.393850000015</v>
      </c>
      <c r="AB17" s="44">
        <f>AB16+MIN(X17,W17)+Y17</f>
        <v>3044868.7500000005</v>
      </c>
      <c r="AC17" s="68">
        <f>+AB17-AB16</f>
        <v>-160256.25</v>
      </c>
    </row>
    <row r="18" spans="2:30" ht="16.95" customHeight="1" x14ac:dyDescent="0.3">
      <c r="B18" s="67" t="s">
        <v>34</v>
      </c>
      <c r="C18" s="44">
        <f>C17*(1+$I$9)</f>
        <v>170423.64</v>
      </c>
      <c r="D18" s="44">
        <f>D17</f>
        <v>-189393.75</v>
      </c>
      <c r="E18" s="44">
        <f>P18</f>
        <v>0</v>
      </c>
      <c r="F18" s="44">
        <f t="shared" si="2"/>
        <v>-8521.1820000000007</v>
      </c>
      <c r="G18" s="44">
        <f t="shared" ref="G18:G25" si="9">-AA18</f>
        <v>48284.213511375005</v>
      </c>
      <c r="H18" s="44"/>
      <c r="I18" s="68">
        <f t="shared" si="0"/>
        <v>20792.921511375018</v>
      </c>
      <c r="J18" s="47"/>
      <c r="K18" s="67">
        <f>K17+N17</f>
        <v>3712117.5</v>
      </c>
      <c r="L18" s="44">
        <f>L17</f>
        <v>-189393.75</v>
      </c>
      <c r="M18" s="44">
        <f t="shared" si="3"/>
        <v>-111363.52499999999</v>
      </c>
      <c r="N18" s="44">
        <f>L18-M18</f>
        <v>-78030.225000000006</v>
      </c>
      <c r="O18" s="44"/>
      <c r="P18" s="44"/>
      <c r="Q18" s="44"/>
      <c r="R18" s="44"/>
      <c r="S18" s="47"/>
      <c r="T18" s="67">
        <f t="shared" si="4"/>
        <v>170423.64</v>
      </c>
      <c r="U18" s="44">
        <f t="shared" si="5"/>
        <v>-8521.1820000000007</v>
      </c>
      <c r="V18" s="44">
        <f t="shared" si="6"/>
        <v>-111363.52499999999</v>
      </c>
      <c r="W18" s="44">
        <f t="shared" si="7"/>
        <v>-96153.750000000015</v>
      </c>
      <c r="X18" s="44">
        <f t="shared" ref="X18:X26" si="10">-$X$14*AB17</f>
        <v>-152243.43750000003</v>
      </c>
      <c r="Y18" s="44">
        <f>-$Y$14*AB17</f>
        <v>0</v>
      </c>
      <c r="Z18" s="44">
        <f t="shared" ref="Z18:Z26" si="11">T18+V18+U18+MIN(X18,W18)+Y18</f>
        <v>-101704.50450000001</v>
      </c>
      <c r="AA18" s="44">
        <f t="shared" si="8"/>
        <v>-48284.213511375005</v>
      </c>
      <c r="AB18" s="44">
        <f t="shared" ref="AB18:AB26" si="12">AB17+MIN(X18,W18)+Y18</f>
        <v>2892625.3125000005</v>
      </c>
      <c r="AC18" s="68">
        <f>+AB18-AB17</f>
        <v>-152243.4375</v>
      </c>
    </row>
    <row r="19" spans="2:30" ht="16.95" customHeight="1" x14ac:dyDescent="0.3">
      <c r="B19" s="67" t="s">
        <v>35</v>
      </c>
      <c r="C19" s="44">
        <f t="shared" ref="C19:C26" si="13">C18*(1+$I$9)</f>
        <v>173832.11280000003</v>
      </c>
      <c r="D19" s="44">
        <f t="shared" ref="D19:D26" si="14">D18</f>
        <v>-189393.75</v>
      </c>
      <c r="E19" s="44">
        <f t="shared" si="1"/>
        <v>0</v>
      </c>
      <c r="F19" s="44">
        <f t="shared" si="2"/>
        <v>-8691.6056400000016</v>
      </c>
      <c r="G19" s="44">
        <f t="shared" si="9"/>
        <v>42021.725595446245</v>
      </c>
      <c r="H19" s="44"/>
      <c r="I19" s="68">
        <f t="shared" si="0"/>
        <v>17768.482755446275</v>
      </c>
      <c r="J19" s="47"/>
      <c r="K19" s="67">
        <f t="shared" ref="K19:K25" si="15">K18+N18</f>
        <v>3634087.2749999999</v>
      </c>
      <c r="L19" s="44">
        <f t="shared" ref="L19:L26" si="16">L18</f>
        <v>-189393.75</v>
      </c>
      <c r="M19" s="44">
        <f t="shared" si="3"/>
        <v>-109022.61825</v>
      </c>
      <c r="N19" s="44">
        <f t="shared" ref="N19:N25" si="17">L19-M19</f>
        <v>-80371.13175</v>
      </c>
      <c r="O19" s="44"/>
      <c r="P19" s="44"/>
      <c r="Q19" s="44"/>
      <c r="R19" s="44"/>
      <c r="S19" s="47"/>
      <c r="T19" s="67">
        <f t="shared" si="4"/>
        <v>173832.11280000003</v>
      </c>
      <c r="U19" s="44">
        <f t="shared" si="5"/>
        <v>-8691.6056400000016</v>
      </c>
      <c r="V19" s="44">
        <f t="shared" si="6"/>
        <v>-109022.61825</v>
      </c>
      <c r="W19" s="44">
        <f t="shared" si="7"/>
        <v>-96153.750000000015</v>
      </c>
      <c r="X19" s="44">
        <f t="shared" si="10"/>
        <v>-144631.26562500003</v>
      </c>
      <c r="Y19" s="44">
        <f>-$Y$14*AB18</f>
        <v>0</v>
      </c>
      <c r="Z19" s="44">
        <f t="shared" si="11"/>
        <v>-88513.376714999991</v>
      </c>
      <c r="AA19" s="44">
        <f t="shared" si="8"/>
        <v>-42021.725595446245</v>
      </c>
      <c r="AB19" s="44">
        <f t="shared" si="12"/>
        <v>2747994.0468750005</v>
      </c>
      <c r="AC19" s="68">
        <f>+AB19-AB18</f>
        <v>-144631.265625</v>
      </c>
    </row>
    <row r="20" spans="2:30" ht="16.95" customHeight="1" x14ac:dyDescent="0.3">
      <c r="B20" s="67" t="s">
        <v>36</v>
      </c>
      <c r="C20" s="44">
        <f t="shared" si="13"/>
        <v>177308.75505600002</v>
      </c>
      <c r="D20" s="44">
        <f t="shared" si="14"/>
        <v>-189393.75</v>
      </c>
      <c r="E20" s="44">
        <f t="shared" si="1"/>
        <v>0</v>
      </c>
      <c r="F20" s="44">
        <f t="shared" si="2"/>
        <v>-8865.4377528000023</v>
      </c>
      <c r="G20" s="44">
        <f t="shared" si="9"/>
        <v>35875.845968239235</v>
      </c>
      <c r="H20" s="44"/>
      <c r="I20" s="68">
        <f t="shared" si="0"/>
        <v>14925.413271439254</v>
      </c>
      <c r="J20" s="47"/>
      <c r="K20" s="67">
        <f t="shared" si="15"/>
        <v>3553716.1432499997</v>
      </c>
      <c r="L20" s="44">
        <f t="shared" si="16"/>
        <v>-189393.75</v>
      </c>
      <c r="M20" s="44">
        <f t="shared" si="3"/>
        <v>-106611.48429749999</v>
      </c>
      <c r="N20" s="44">
        <f t="shared" si="17"/>
        <v>-82782.265702500008</v>
      </c>
      <c r="O20" s="44"/>
      <c r="P20" s="44"/>
      <c r="Q20" s="44"/>
      <c r="R20" s="44"/>
      <c r="S20" s="47"/>
      <c r="T20" s="67">
        <f t="shared" si="4"/>
        <v>177308.75505600002</v>
      </c>
      <c r="U20" s="44">
        <f t="shared" si="5"/>
        <v>-8865.4377528000023</v>
      </c>
      <c r="V20" s="44">
        <f t="shared" si="6"/>
        <v>-106611.48429749999</v>
      </c>
      <c r="W20" s="44">
        <f t="shared" si="7"/>
        <v>-96153.750000000015</v>
      </c>
      <c r="X20" s="44">
        <f t="shared" si="10"/>
        <v>-137399.70234375002</v>
      </c>
      <c r="Y20" s="44">
        <f>-$Y$14*AB19</f>
        <v>0</v>
      </c>
      <c r="Z20" s="44">
        <f t="shared" si="11"/>
        <v>-75567.86933804999</v>
      </c>
      <c r="AA20" s="44">
        <f t="shared" si="8"/>
        <v>-35875.845968239235</v>
      </c>
      <c r="AB20" s="44">
        <f t="shared" si="12"/>
        <v>2610594.3445312507</v>
      </c>
      <c r="AC20" s="68">
        <f t="shared" ref="AC20:AC26" si="18">+AB20-AB19</f>
        <v>-137399.70234374981</v>
      </c>
    </row>
    <row r="21" spans="2:30" ht="16.95" customHeight="1" x14ac:dyDescent="0.3">
      <c r="B21" s="67" t="s">
        <v>37</v>
      </c>
      <c r="C21" s="44">
        <f t="shared" si="13"/>
        <v>180854.93015712002</v>
      </c>
      <c r="D21" s="44">
        <f t="shared" si="14"/>
        <v>-189393.75</v>
      </c>
      <c r="E21" s="44">
        <f t="shared" si="1"/>
        <v>0</v>
      </c>
      <c r="F21" s="44">
        <f t="shared" si="2"/>
        <v>-9042.7465078560017</v>
      </c>
      <c r="G21" s="44">
        <f t="shared" si="9"/>
        <v>29835.92481679274</v>
      </c>
      <c r="H21" s="44"/>
      <c r="I21" s="68">
        <f t="shared" si="0"/>
        <v>12254.358466056758</v>
      </c>
      <c r="J21" s="47"/>
      <c r="K21" s="67">
        <f t="shared" si="15"/>
        <v>3470933.8775474997</v>
      </c>
      <c r="L21" s="44">
        <f t="shared" si="16"/>
        <v>-189393.75</v>
      </c>
      <c r="M21" s="44">
        <f t="shared" si="3"/>
        <v>-104128.01632642499</v>
      </c>
      <c r="N21" s="44">
        <f t="shared" si="17"/>
        <v>-85265.733673575014</v>
      </c>
      <c r="O21" s="44"/>
      <c r="P21" s="44"/>
      <c r="Q21" s="44"/>
      <c r="R21" s="44"/>
      <c r="S21" s="47"/>
      <c r="T21" s="67">
        <f t="shared" si="4"/>
        <v>180854.93015712002</v>
      </c>
      <c r="U21" s="44">
        <f t="shared" si="5"/>
        <v>-9042.7465078560017</v>
      </c>
      <c r="V21" s="44">
        <f t="shared" si="6"/>
        <v>-104128.01632642499</v>
      </c>
      <c r="W21" s="44">
        <f t="shared" si="7"/>
        <v>-96153.750000000015</v>
      </c>
      <c r="X21" s="44">
        <f t="shared" si="10"/>
        <v>-130529.71722656254</v>
      </c>
      <c r="Y21" s="44"/>
      <c r="Z21" s="44">
        <f t="shared" si="11"/>
        <v>-62845.549903723513</v>
      </c>
      <c r="AA21" s="44">
        <f t="shared" si="8"/>
        <v>-29835.92481679274</v>
      </c>
      <c r="AB21" s="44">
        <f t="shared" si="12"/>
        <v>2480064.6273046881</v>
      </c>
      <c r="AC21" s="68">
        <f t="shared" si="18"/>
        <v>-130529.71722656256</v>
      </c>
    </row>
    <row r="22" spans="2:30" ht="16.95" customHeight="1" x14ac:dyDescent="0.3">
      <c r="B22" s="67" t="s">
        <v>38</v>
      </c>
      <c r="C22" s="44">
        <f t="shared" si="13"/>
        <v>184472.02876026242</v>
      </c>
      <c r="D22" s="44">
        <f t="shared" si="14"/>
        <v>-189393.75</v>
      </c>
      <c r="E22" s="44">
        <f t="shared" si="1"/>
        <v>0</v>
      </c>
      <c r="F22" s="44">
        <f t="shared" si="2"/>
        <v>-9223.6014380131219</v>
      </c>
      <c r="G22" s="44">
        <f t="shared" si="9"/>
        <v>23891.721758531559</v>
      </c>
      <c r="H22" s="44"/>
      <c r="I22" s="68">
        <f t="shared" si="0"/>
        <v>9746.3990807808532</v>
      </c>
      <c r="J22" s="47"/>
      <c r="K22" s="67">
        <f t="shared" si="15"/>
        <v>3385668.1438739249</v>
      </c>
      <c r="L22" s="44">
        <f t="shared" si="16"/>
        <v>-189393.75</v>
      </c>
      <c r="M22" s="44">
        <f t="shared" si="3"/>
        <v>-101570.04431621774</v>
      </c>
      <c r="N22" s="44">
        <f t="shared" si="17"/>
        <v>-87823.70568378226</v>
      </c>
      <c r="O22" s="44"/>
      <c r="P22" s="44"/>
      <c r="Q22" s="44"/>
      <c r="R22" s="44"/>
      <c r="S22" s="47"/>
      <c r="T22" s="67">
        <f t="shared" si="4"/>
        <v>184472.02876026242</v>
      </c>
      <c r="U22" s="44">
        <f t="shared" si="5"/>
        <v>-9223.6014380131219</v>
      </c>
      <c r="V22" s="44">
        <f t="shared" si="6"/>
        <v>-101570.04431621774</v>
      </c>
      <c r="W22" s="44">
        <f t="shared" si="7"/>
        <v>-96153.750000000015</v>
      </c>
      <c r="X22" s="44">
        <f t="shared" si="10"/>
        <v>-124003.23136523442</v>
      </c>
      <c r="Y22" s="44"/>
      <c r="Z22" s="44">
        <f t="shared" si="11"/>
        <v>-50324.848359202864</v>
      </c>
      <c r="AA22" s="44">
        <f t="shared" si="8"/>
        <v>-23891.721758531559</v>
      </c>
      <c r="AB22" s="44">
        <f t="shared" si="12"/>
        <v>2356061.3959394535</v>
      </c>
      <c r="AC22" s="68">
        <f t="shared" si="18"/>
        <v>-124003.23136523459</v>
      </c>
    </row>
    <row r="23" spans="2:30" ht="16.95" customHeight="1" x14ac:dyDescent="0.3">
      <c r="B23" s="67" t="s">
        <v>39</v>
      </c>
      <c r="C23" s="44">
        <f t="shared" si="13"/>
        <v>188161.46933546767</v>
      </c>
      <c r="D23" s="44">
        <f t="shared" si="14"/>
        <v>-189393.75</v>
      </c>
      <c r="E23" s="44">
        <f t="shared" si="1"/>
        <v>0</v>
      </c>
      <c r="F23" s="44">
        <f t="shared" si="2"/>
        <v>-9408.0734667733832</v>
      </c>
      <c r="G23" s="44">
        <f t="shared" si="9"/>
        <v>18033.382108373269</v>
      </c>
      <c r="H23" s="44"/>
      <c r="I23" s="68">
        <f t="shared" si="0"/>
        <v>7393.027977067557</v>
      </c>
      <c r="J23" s="47"/>
      <c r="K23" s="67">
        <f t="shared" si="15"/>
        <v>3297844.4381901426</v>
      </c>
      <c r="L23" s="44">
        <f t="shared" si="16"/>
        <v>-189393.75</v>
      </c>
      <c r="M23" s="44">
        <f t="shared" si="3"/>
        <v>-98935.33314570428</v>
      </c>
      <c r="N23" s="44">
        <f t="shared" si="17"/>
        <v>-90458.41685429572</v>
      </c>
      <c r="O23" s="44"/>
      <c r="P23" s="44"/>
      <c r="Q23" s="44"/>
      <c r="R23" s="44"/>
      <c r="S23" s="47"/>
      <c r="T23" s="67">
        <f t="shared" si="4"/>
        <v>188161.46933546767</v>
      </c>
      <c r="U23" s="44">
        <f t="shared" si="5"/>
        <v>-9408.0734667733832</v>
      </c>
      <c r="V23" s="44">
        <f t="shared" si="6"/>
        <v>-98935.33314570428</v>
      </c>
      <c r="W23" s="44">
        <f t="shared" si="7"/>
        <v>-96153.750000000015</v>
      </c>
      <c r="X23" s="44">
        <f t="shared" si="10"/>
        <v>-117803.06979697268</v>
      </c>
      <c r="Y23" s="44"/>
      <c r="Z23" s="44">
        <f t="shared" si="11"/>
        <v>-37985.007073982662</v>
      </c>
      <c r="AA23" s="44">
        <f t="shared" si="8"/>
        <v>-18033.382108373269</v>
      </c>
      <c r="AB23" s="44">
        <f t="shared" si="12"/>
        <v>2238258.3261424806</v>
      </c>
      <c r="AC23" s="68">
        <f t="shared" si="18"/>
        <v>-117803.06979697291</v>
      </c>
    </row>
    <row r="24" spans="2:30" ht="16.95" customHeight="1" x14ac:dyDescent="0.3">
      <c r="B24" s="67" t="s">
        <v>40</v>
      </c>
      <c r="C24" s="44">
        <f t="shared" si="13"/>
        <v>191924.69872217704</v>
      </c>
      <c r="D24" s="44">
        <f t="shared" si="14"/>
        <v>-189393.75</v>
      </c>
      <c r="E24" s="44">
        <f t="shared" si="1"/>
        <v>0</v>
      </c>
      <c r="F24" s="44">
        <f t="shared" si="2"/>
        <v>-9596.2349361088527</v>
      </c>
      <c r="G24" s="44">
        <f t="shared" si="9"/>
        <v>12251.414243247058</v>
      </c>
      <c r="H24" s="44"/>
      <c r="I24" s="68">
        <f t="shared" si="0"/>
        <v>5186.1280293152449</v>
      </c>
      <c r="J24" s="47"/>
      <c r="K24" s="67">
        <f t="shared" si="15"/>
        <v>3207386.0213358467</v>
      </c>
      <c r="L24" s="44">
        <f t="shared" si="16"/>
        <v>-189393.75</v>
      </c>
      <c r="M24" s="44">
        <f t="shared" si="3"/>
        <v>-96221.580640075394</v>
      </c>
      <c r="N24" s="44">
        <f t="shared" si="17"/>
        <v>-93172.169359924606</v>
      </c>
      <c r="O24" s="44"/>
      <c r="P24" s="44"/>
      <c r="Q24" s="44"/>
      <c r="R24" s="44"/>
      <c r="S24" s="47"/>
      <c r="T24" s="67">
        <f t="shared" si="4"/>
        <v>191924.69872217704</v>
      </c>
      <c r="U24" s="44">
        <f t="shared" si="5"/>
        <v>-9596.2349361088527</v>
      </c>
      <c r="V24" s="44">
        <f t="shared" si="6"/>
        <v>-96221.580640075394</v>
      </c>
      <c r="W24" s="44">
        <f t="shared" si="7"/>
        <v>-96153.750000000015</v>
      </c>
      <c r="X24" s="44">
        <f t="shared" si="10"/>
        <v>-111912.91630712403</v>
      </c>
      <c r="Y24" s="44"/>
      <c r="Z24" s="44">
        <f t="shared" si="11"/>
        <v>-25806.033161131243</v>
      </c>
      <c r="AA24" s="44">
        <f t="shared" si="8"/>
        <v>-12251.414243247058</v>
      </c>
      <c r="AB24" s="44">
        <f t="shared" si="12"/>
        <v>2126345.4098353568</v>
      </c>
      <c r="AC24" s="68">
        <f t="shared" si="18"/>
        <v>-111912.91630712384</v>
      </c>
    </row>
    <row r="25" spans="2:30" ht="16.95" customHeight="1" x14ac:dyDescent="0.3">
      <c r="B25" s="67" t="s">
        <v>41</v>
      </c>
      <c r="C25" s="44">
        <f t="shared" si="13"/>
        <v>195763.19269662059</v>
      </c>
      <c r="D25" s="44">
        <f t="shared" si="14"/>
        <v>-189393.75</v>
      </c>
      <c r="E25" s="44">
        <f t="shared" si="1"/>
        <v>0</v>
      </c>
      <c r="F25" s="44">
        <f t="shared" si="2"/>
        <v>-9788.1596348310304</v>
      </c>
      <c r="G25" s="44">
        <f t="shared" si="9"/>
        <v>6536.6680066492545</v>
      </c>
      <c r="H25" s="44"/>
      <c r="I25" s="68">
        <f t="shared" si="0"/>
        <v>3117.9510684388179</v>
      </c>
      <c r="J25" s="47"/>
      <c r="K25" s="67">
        <f t="shared" si="15"/>
        <v>3114213.851975922</v>
      </c>
      <c r="L25" s="44">
        <f t="shared" si="16"/>
        <v>-189393.75</v>
      </c>
      <c r="M25" s="44">
        <f t="shared" si="3"/>
        <v>-93426.415559277651</v>
      </c>
      <c r="N25" s="44">
        <f t="shared" si="17"/>
        <v>-95967.334440722349</v>
      </c>
      <c r="O25" s="44"/>
      <c r="P25" s="44"/>
      <c r="Q25" s="44"/>
      <c r="R25" s="44"/>
      <c r="S25" s="47"/>
      <c r="T25" s="67">
        <f t="shared" si="4"/>
        <v>195763.19269662059</v>
      </c>
      <c r="U25" s="44">
        <f t="shared" si="5"/>
        <v>-9788.1596348310304</v>
      </c>
      <c r="V25" s="44">
        <f t="shared" si="6"/>
        <v>-93426.415559277651</v>
      </c>
      <c r="W25" s="44">
        <f t="shared" si="7"/>
        <v>-96153.750000000015</v>
      </c>
      <c r="X25" s="44">
        <f t="shared" si="10"/>
        <v>-106317.27049176785</v>
      </c>
      <c r="Y25" s="44"/>
      <c r="Z25" s="44">
        <f t="shared" si="11"/>
        <v>-13768.652989255934</v>
      </c>
      <c r="AA25" s="44">
        <f t="shared" si="8"/>
        <v>-6536.6680066492545</v>
      </c>
      <c r="AB25" s="44">
        <f t="shared" si="12"/>
        <v>2020028.1393435888</v>
      </c>
      <c r="AC25" s="68">
        <f t="shared" si="18"/>
        <v>-106317.27049176791</v>
      </c>
    </row>
    <row r="26" spans="2:30" ht="16.95" customHeight="1" x14ac:dyDescent="0.5">
      <c r="B26" s="69" t="s">
        <v>42</v>
      </c>
      <c r="C26" s="45">
        <f t="shared" si="13"/>
        <v>199678.456550553</v>
      </c>
      <c r="D26" s="45">
        <f t="shared" si="14"/>
        <v>-189393.75</v>
      </c>
      <c r="E26" s="45">
        <f t="shared" si="1"/>
        <v>0</v>
      </c>
      <c r="F26" s="45">
        <f t="shared" si="2"/>
        <v>-9983.922827527651</v>
      </c>
      <c r="G26" s="45">
        <f>-AA26</f>
        <v>880.31409865723606</v>
      </c>
      <c r="H26" s="45">
        <f>Kaufpreis*(1+$I$10)^10-K26-N26-O26-R26</f>
        <v>3521601.4158283188</v>
      </c>
      <c r="I26" s="70">
        <f t="shared" si="0"/>
        <v>3522782.5136500015</v>
      </c>
      <c r="J26" s="47"/>
      <c r="K26" s="69">
        <f>K25+N25</f>
        <v>3018246.5175351999</v>
      </c>
      <c r="L26" s="45">
        <f t="shared" si="16"/>
        <v>-189393.75</v>
      </c>
      <c r="M26" s="45">
        <f t="shared" si="3"/>
        <v>-90547.395526055989</v>
      </c>
      <c r="N26" s="45">
        <f>L26-M26</f>
        <v>-98846.354473944011</v>
      </c>
      <c r="O26" s="45"/>
      <c r="P26" s="45"/>
      <c r="Q26" s="45"/>
      <c r="R26" s="45"/>
      <c r="S26" s="42"/>
      <c r="T26" s="69">
        <f t="shared" si="4"/>
        <v>199678.456550553</v>
      </c>
      <c r="U26" s="45">
        <f t="shared" si="5"/>
        <v>-9983.922827527651</v>
      </c>
      <c r="V26" s="45">
        <f t="shared" si="6"/>
        <v>-90547.395526055989</v>
      </c>
      <c r="W26" s="45">
        <f t="shared" si="7"/>
        <v>-96153.750000000015</v>
      </c>
      <c r="X26" s="45">
        <f t="shared" si="10"/>
        <v>-101001.40696717944</v>
      </c>
      <c r="Y26" s="45"/>
      <c r="Z26" s="45">
        <f t="shared" si="11"/>
        <v>-1854.2687702100811</v>
      </c>
      <c r="AA26" s="45">
        <f t="shared" si="8"/>
        <v>-880.31409865723606</v>
      </c>
      <c r="AB26" s="45">
        <f t="shared" si="12"/>
        <v>1919026.7323764095</v>
      </c>
      <c r="AC26" s="70">
        <f t="shared" si="18"/>
        <v>-101001.40696717938</v>
      </c>
      <c r="AD26" s="41"/>
    </row>
    <row r="27" spans="2:30" ht="15" customHeight="1" x14ac:dyDescent="0.3">
      <c r="B27" s="51"/>
      <c r="C27" s="47"/>
      <c r="D27" s="47"/>
      <c r="E27" s="47"/>
      <c r="F27" s="35"/>
      <c r="G27" s="35"/>
      <c r="H27" s="47"/>
      <c r="I27" s="49"/>
      <c r="J27" s="47"/>
      <c r="K27" s="56">
        <f>K26+N26</f>
        <v>2919400.1630612561</v>
      </c>
      <c r="L27" s="57" t="s">
        <v>43</v>
      </c>
      <c r="M27" s="47"/>
      <c r="N27" s="47"/>
      <c r="O27" s="55"/>
      <c r="P27" s="47"/>
      <c r="Q27" s="47"/>
      <c r="R27" s="47"/>
      <c r="S27" s="47"/>
      <c r="T27" s="47"/>
      <c r="U27" s="47"/>
      <c r="V27" s="47"/>
      <c r="W27" s="55"/>
      <c r="X27" s="55"/>
      <c r="Y27" s="47"/>
      <c r="Z27" s="47"/>
      <c r="AA27" s="47"/>
      <c r="AB27" s="47"/>
      <c r="AC27" s="47"/>
    </row>
    <row r="28" spans="2:30" ht="22.2" customHeight="1" x14ac:dyDescent="0.5">
      <c r="B28" s="111" t="s">
        <v>86</v>
      </c>
      <c r="C28" s="99" t="s">
        <v>98</v>
      </c>
      <c r="D28" s="100"/>
      <c r="E28" s="101"/>
      <c r="F28" s="100"/>
      <c r="G28" s="100"/>
      <c r="H28" s="102"/>
      <c r="I28" s="95">
        <f>IRR(I16:I26,0.06)</f>
        <v>6.1142638527152293E-2</v>
      </c>
      <c r="J28" s="58"/>
      <c r="K28" s="58"/>
      <c r="L28" s="58"/>
      <c r="M28" s="58"/>
      <c r="N28" s="58"/>
      <c r="O28" s="58"/>
      <c r="P28" s="58"/>
      <c r="Q28" s="58"/>
      <c r="R28" s="58"/>
      <c r="S28" s="47"/>
      <c r="T28" s="58"/>
      <c r="U28" s="58"/>
      <c r="V28" s="58"/>
      <c r="W28" s="55"/>
      <c r="X28" s="55"/>
      <c r="Y28" s="58"/>
      <c r="Z28" s="58"/>
      <c r="AA28" s="58"/>
      <c r="AB28" s="58"/>
      <c r="AC28" s="58"/>
    </row>
    <row r="29" spans="2:30" ht="22.2" customHeight="1" x14ac:dyDescent="0.3">
      <c r="B29" s="112" t="s">
        <v>105</v>
      </c>
      <c r="C29" s="103" t="s">
        <v>99</v>
      </c>
      <c r="D29" s="104"/>
      <c r="E29" s="105"/>
      <c r="F29" s="104"/>
      <c r="G29" s="104"/>
      <c r="H29" s="106"/>
      <c r="I29" s="98">
        <f>I28/0.73625</f>
        <v>8.3046028559799381E-2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2:30" ht="22.2" customHeight="1" x14ac:dyDescent="0.3">
      <c r="B30" s="113" t="s">
        <v>22</v>
      </c>
      <c r="C30" s="107" t="s">
        <v>89</v>
      </c>
      <c r="D30" s="97"/>
      <c r="E30" s="108"/>
      <c r="F30" s="97"/>
      <c r="G30" s="97"/>
      <c r="H30" s="109"/>
      <c r="I30" s="96">
        <f>SUM(I16:I26)</f>
        <v>1598350.7396599215</v>
      </c>
      <c r="S30" s="47"/>
    </row>
    <row r="31" spans="2:30" ht="15" customHeight="1" x14ac:dyDescent="0.3">
      <c r="S31" s="47"/>
    </row>
    <row r="32" spans="2:30" ht="15" customHeight="1" x14ac:dyDescent="0.3">
      <c r="S32" s="47"/>
    </row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</sheetData>
  <mergeCells count="3">
    <mergeCell ref="K9:N9"/>
    <mergeCell ref="O9:R9"/>
    <mergeCell ref="T9:AC9"/>
  </mergeCells>
  <pageMargins left="0.25" right="0.25" top="0.75" bottom="0.75" header="0.3" footer="0.3"/>
  <pageSetup paperSize="8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C69C-EE4A-4BCF-BA88-FFA458074300}">
  <dimension ref="A2:D16"/>
  <sheetViews>
    <sheetView workbookViewId="0">
      <selection activeCell="D6" sqref="D6"/>
    </sheetView>
  </sheetViews>
  <sheetFormatPr baseColWidth="10" defaultRowHeight="14.4" x14ac:dyDescent="0.3"/>
  <sheetData>
    <row r="2" spans="1:4" x14ac:dyDescent="0.3">
      <c r="C2" t="s">
        <v>107</v>
      </c>
      <c r="D2" t="s">
        <v>109</v>
      </c>
    </row>
    <row r="3" spans="1:4" x14ac:dyDescent="0.3">
      <c r="B3" t="s">
        <v>32</v>
      </c>
      <c r="C3" s="124">
        <v>1</v>
      </c>
    </row>
    <row r="4" spans="1:4" x14ac:dyDescent="0.3">
      <c r="B4" t="s">
        <v>33</v>
      </c>
      <c r="C4" s="124">
        <f>C3*(1+D4)</f>
        <v>1</v>
      </c>
    </row>
    <row r="5" spans="1:4" x14ac:dyDescent="0.3">
      <c r="B5" t="s">
        <v>34</v>
      </c>
      <c r="C5" s="124">
        <f t="shared" ref="C5:C13" si="0">C4*(1+D5)</f>
        <v>1</v>
      </c>
    </row>
    <row r="6" spans="1:4" x14ac:dyDescent="0.3">
      <c r="B6" t="s">
        <v>35</v>
      </c>
      <c r="C6" s="124">
        <f t="shared" si="0"/>
        <v>1.1499999999999999</v>
      </c>
      <c r="D6" s="123">
        <v>0.15</v>
      </c>
    </row>
    <row r="7" spans="1:4" x14ac:dyDescent="0.3">
      <c r="B7" t="s">
        <v>36</v>
      </c>
      <c r="C7" s="124">
        <f t="shared" si="0"/>
        <v>1.1499999999999999</v>
      </c>
    </row>
    <row r="8" spans="1:4" x14ac:dyDescent="0.3">
      <c r="B8" t="s">
        <v>37</v>
      </c>
      <c r="C8" s="124">
        <f t="shared" si="0"/>
        <v>1.1499999999999999</v>
      </c>
    </row>
    <row r="9" spans="1:4" x14ac:dyDescent="0.3">
      <c r="B9" t="s">
        <v>38</v>
      </c>
      <c r="C9" s="124">
        <f t="shared" si="0"/>
        <v>1.3224999999999998</v>
      </c>
      <c r="D9" s="123">
        <v>0.15</v>
      </c>
    </row>
    <row r="10" spans="1:4" x14ac:dyDescent="0.3">
      <c r="B10" t="s">
        <v>39</v>
      </c>
      <c r="C10" s="124">
        <f t="shared" si="0"/>
        <v>1.3224999999999998</v>
      </c>
    </row>
    <row r="11" spans="1:4" x14ac:dyDescent="0.3">
      <c r="B11" t="s">
        <v>40</v>
      </c>
      <c r="C11" s="124">
        <f t="shared" si="0"/>
        <v>1.3224999999999998</v>
      </c>
    </row>
    <row r="12" spans="1:4" x14ac:dyDescent="0.3">
      <c r="B12" t="s">
        <v>41</v>
      </c>
      <c r="C12" s="124">
        <f t="shared" si="0"/>
        <v>1.5208749999999995</v>
      </c>
      <c r="D12" s="123">
        <v>0.15</v>
      </c>
    </row>
    <row r="13" spans="1:4" x14ac:dyDescent="0.3">
      <c r="B13" t="s">
        <v>42</v>
      </c>
      <c r="C13" s="124">
        <f t="shared" si="0"/>
        <v>1.5208749999999995</v>
      </c>
    </row>
    <row r="15" spans="1:4" x14ac:dyDescent="0.3">
      <c r="A15" t="s">
        <v>108</v>
      </c>
      <c r="C15" s="5">
        <f>+(C13)^(1/11)-1</f>
        <v>3.8852660774991721E-2</v>
      </c>
    </row>
    <row r="16" spans="1:4" x14ac:dyDescent="0.3">
      <c r="C16" s="123"/>
    </row>
  </sheetData>
  <phoneticPr fontId="35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1278-A0DB-473C-8AC1-569E4269B760}">
  <dimension ref="B2:D27"/>
  <sheetViews>
    <sheetView workbookViewId="0">
      <selection activeCell="G19" sqref="G19"/>
    </sheetView>
  </sheetViews>
  <sheetFormatPr baseColWidth="10" defaultRowHeight="14.4" x14ac:dyDescent="0.3"/>
  <cols>
    <col min="2" max="2" width="15.44140625" customWidth="1"/>
    <col min="3" max="3" width="16" customWidth="1"/>
    <col min="4" max="4" width="19.109375" customWidth="1"/>
  </cols>
  <sheetData>
    <row r="2" spans="2:4" x14ac:dyDescent="0.3">
      <c r="B2" s="153" t="s">
        <v>115</v>
      </c>
    </row>
    <row r="3" spans="2:4" x14ac:dyDescent="0.3">
      <c r="B3" s="153"/>
    </row>
    <row r="4" spans="2:4" x14ac:dyDescent="0.3">
      <c r="B4" s="154" t="s">
        <v>116</v>
      </c>
    </row>
    <row r="5" spans="2:4" x14ac:dyDescent="0.3">
      <c r="B5" s="155" t="s">
        <v>117</v>
      </c>
    </row>
    <row r="6" spans="2:4" x14ac:dyDescent="0.3">
      <c r="B6" s="154" t="s">
        <v>118</v>
      </c>
    </row>
    <row r="7" spans="2:4" x14ac:dyDescent="0.3">
      <c r="B7" s="154" t="s">
        <v>119</v>
      </c>
    </row>
    <row r="8" spans="2:4" x14ac:dyDescent="0.3">
      <c r="B8" s="154" t="s">
        <v>120</v>
      </c>
    </row>
    <row r="9" spans="2:4" x14ac:dyDescent="0.3">
      <c r="B9" s="154" t="s">
        <v>121</v>
      </c>
    </row>
    <row r="10" spans="2:4" x14ac:dyDescent="0.3">
      <c r="B10" s="154" t="s">
        <v>122</v>
      </c>
    </row>
    <row r="11" spans="2:4" x14ac:dyDescent="0.3">
      <c r="B11" s="154" t="s">
        <v>123</v>
      </c>
    </row>
    <row r="12" spans="2:4" x14ac:dyDescent="0.3">
      <c r="B12" s="154" t="s">
        <v>124</v>
      </c>
    </row>
    <row r="13" spans="2:4" x14ac:dyDescent="0.3">
      <c r="B13" s="156"/>
    </row>
    <row r="14" spans="2:4" x14ac:dyDescent="0.3">
      <c r="B14" s="157" t="s">
        <v>125</v>
      </c>
    </row>
    <row r="15" spans="2:4" x14ac:dyDescent="0.3">
      <c r="B15" s="156"/>
    </row>
    <row r="16" spans="2:4" x14ac:dyDescent="0.3">
      <c r="B16" s="158" t="s">
        <v>126</v>
      </c>
      <c r="C16" s="158" t="s">
        <v>127</v>
      </c>
      <c r="D16" s="158" t="s">
        <v>128</v>
      </c>
    </row>
    <row r="17" spans="2:4" ht="26.4" x14ac:dyDescent="0.3">
      <c r="B17" s="159" t="s">
        <v>129</v>
      </c>
      <c r="C17" s="160">
        <v>0.98319999999999996</v>
      </c>
      <c r="D17" s="159" t="s">
        <v>130</v>
      </c>
    </row>
    <row r="18" spans="2:4" ht="26.4" x14ac:dyDescent="0.3">
      <c r="B18" s="158" t="s">
        <v>131</v>
      </c>
      <c r="C18" s="161">
        <v>1.1259999999999999</v>
      </c>
      <c r="D18" s="158" t="s">
        <v>132</v>
      </c>
    </row>
    <row r="19" spans="2:4" ht="26.4" x14ac:dyDescent="0.3">
      <c r="B19" s="159" t="s">
        <v>133</v>
      </c>
      <c r="C19" s="160">
        <v>1.2688999999999999</v>
      </c>
      <c r="D19" s="159" t="s">
        <v>134</v>
      </c>
    </row>
    <row r="20" spans="2:4" ht="26.4" x14ac:dyDescent="0.3">
      <c r="B20" s="158" t="s">
        <v>135</v>
      </c>
      <c r="C20" s="161">
        <v>1.4117999999999999</v>
      </c>
      <c r="D20" s="158" t="s">
        <v>136</v>
      </c>
    </row>
    <row r="21" spans="2:4" ht="26.4" x14ac:dyDescent="0.3">
      <c r="B21" s="159" t="s">
        <v>137</v>
      </c>
      <c r="C21" s="160">
        <v>1.5546</v>
      </c>
      <c r="D21" s="159" t="s">
        <v>138</v>
      </c>
    </row>
    <row r="22" spans="2:4" x14ac:dyDescent="0.3">
      <c r="B22" s="162"/>
    </row>
    <row r="23" spans="2:4" x14ac:dyDescent="0.3">
      <c r="B23" s="162" t="s">
        <v>139</v>
      </c>
    </row>
    <row r="24" spans="2:4" x14ac:dyDescent="0.3">
      <c r="B24" s="154" t="s">
        <v>140</v>
      </c>
    </row>
    <row r="25" spans="2:4" x14ac:dyDescent="0.3">
      <c r="B25" s="154" t="s">
        <v>141</v>
      </c>
    </row>
    <row r="26" spans="2:4" x14ac:dyDescent="0.3">
      <c r="B26" s="163" t="s">
        <v>142</v>
      </c>
    </row>
    <row r="27" spans="2:4" x14ac:dyDescent="0.3">
      <c r="B27" s="164" t="s">
        <v>143</v>
      </c>
    </row>
  </sheetData>
  <hyperlinks>
    <hyperlink ref="B5" r:id="rId1" display="https://www.mrlodge.de/infos-fuer-vermieter/foto-und-videoservice/" xr:uid="{198AC946-5CEB-4F3D-8145-76DF90D9B267}"/>
  </hyperlinks>
  <pageMargins left="0.7" right="0.7" top="0.78740157499999996" bottom="0.78740157499999996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ECE4-DECF-422F-AC9D-4FB549BA82CA}">
  <dimension ref="A1"/>
  <sheetViews>
    <sheetView workbookViewId="0">
      <selection activeCell="L29" sqref="L29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5057ee-b474-465d-a3ee-eeae4dcc04ca">
      <Terms xmlns="http://schemas.microsoft.com/office/infopath/2007/PartnerControls"/>
    </lcf76f155ced4ddcb4097134ff3c332f>
    <TaxCatchAll xmlns="b4b3f62d-34ff-47b1-8f27-51df28acb3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1530B9AE373748A8DAB3B5AF1BAC12" ma:contentTypeVersion="15" ma:contentTypeDescription="Ein neues Dokument erstellen." ma:contentTypeScope="" ma:versionID="bf36c9b0a5f902dae3f57de3bbeff95d">
  <xsd:schema xmlns:xsd="http://www.w3.org/2001/XMLSchema" xmlns:xs="http://www.w3.org/2001/XMLSchema" xmlns:p="http://schemas.microsoft.com/office/2006/metadata/properties" xmlns:ns2="c65057ee-b474-465d-a3ee-eeae4dcc04ca" xmlns:ns3="b4b3f62d-34ff-47b1-8f27-51df28acb3b5" targetNamespace="http://schemas.microsoft.com/office/2006/metadata/properties" ma:root="true" ma:fieldsID="a2486f318fdd4996b814b63cd45d9a5a" ns2:_="" ns3:_="">
    <xsd:import namespace="c65057ee-b474-465d-a3ee-eeae4dcc04ca"/>
    <xsd:import namespace="b4b3f62d-34ff-47b1-8f27-51df28acb3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057ee-b474-465d-a3ee-eeae4dcc0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eda220ce-e3b9-44df-980b-10ec98a6f4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3f62d-34ff-47b1-8f27-51df28acb3b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bbc384-3c85-4fad-b986-c9f1f9c7bcbc}" ma:internalName="TaxCatchAll" ma:showField="CatchAllData" ma:web="b4b3f62d-34ff-47b1-8f27-51df28acb3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E8C31-EA68-4314-8D22-024D7A28D81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5057ee-b474-465d-a3ee-eeae4dcc04ca"/>
    <ds:schemaRef ds:uri="b4b3f62d-34ff-47b1-8f27-51df28acb3b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0546fa04-b434-42b5-bcce-5e7bff48f5dc"/>
    <ds:schemaRef ds:uri="1e118bd8-ba05-480d-8752-9b56b6c1e16b"/>
  </ds:schemaRefs>
</ds:datastoreItem>
</file>

<file path=customXml/itemProps2.xml><?xml version="1.0" encoding="utf-8"?>
<ds:datastoreItem xmlns:ds="http://schemas.openxmlformats.org/officeDocument/2006/customXml" ds:itemID="{8882C354-ED82-4B8F-9F46-107A4EA70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5057ee-b474-465d-a3ee-eeae4dcc04ca"/>
    <ds:schemaRef ds:uri="b4b3f62d-34ff-47b1-8f27-51df28acb3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009DD2-9475-4C4C-BB30-AC4051E15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14</vt:i4>
      </vt:variant>
    </vt:vector>
  </HeadingPairs>
  <TitlesOfParts>
    <vt:vector size="19" baseType="lpstr">
      <vt:lpstr>Übersicht</vt:lpstr>
      <vt:lpstr>Detail</vt:lpstr>
      <vt:lpstr>Mieterhöhung</vt:lpstr>
      <vt:lpstr>Kosten Mr. Lodge</vt:lpstr>
      <vt:lpstr>Kosten Einrichtung</vt:lpstr>
      <vt:lpstr>Abschreibungsgrundlage</vt:lpstr>
      <vt:lpstr>Annuität_p.a.</vt:lpstr>
      <vt:lpstr>Bewirtschaftung_prozentual</vt:lpstr>
      <vt:lpstr>Detail!Druckbereich</vt:lpstr>
      <vt:lpstr>Übersicht!Druckbereich</vt:lpstr>
      <vt:lpstr>Eigenkapital</vt:lpstr>
      <vt:lpstr>Fremdkapital</vt:lpstr>
      <vt:lpstr>Kaltmiete</vt:lpstr>
      <vt:lpstr>Kaufpreis</vt:lpstr>
      <vt:lpstr>persönlicher_Steuersatz</vt:lpstr>
      <vt:lpstr>Steigerung_Immobilienwert</vt:lpstr>
      <vt:lpstr>Steigerung_Miete</vt:lpstr>
      <vt:lpstr>Tilgung_p.a.</vt:lpstr>
      <vt:lpstr>Zins_p.a.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Dietzel, Marian | DOMINO Bau</dc:creator>
  <cp:lastModifiedBy>Dr. Marian Dietzel | DOMINO Bau</cp:lastModifiedBy>
  <cp:lastPrinted>2024-10-30T17:34:31Z</cp:lastPrinted>
  <dcterms:created xsi:type="dcterms:W3CDTF">2024-06-25T16:49:37Z</dcterms:created>
  <dcterms:modified xsi:type="dcterms:W3CDTF">2025-01-24T10:47:07Z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0x010100CD1530B9AE373748A8DAB3B5AF1BAC12</vt:lpwstr>
  </property>
  <property fmtid="{D5CDD505-2E9C-101B-9397-08002B2CF9AE}" pid="3" name="MediaServiceImageTags">
    <vt:lpwstr/>
  </property>
  <property fmtid="{D5CDD505-2E9C-101B-9397-08002B2CF9AE}" pid="4" name="_dlc_DocIdItemGuid">
    <vt:lpwstr>52097038-fdfd-4204-9e35-d237bf9c0ab2</vt:lpwstr>
  </property>
  <property fmtid="{D5CDD505-2E9C-101B-9397-08002B2CF9AE}" pid="5" name="Objektstatus">
    <vt:lpwstr/>
  </property>
  <property fmtid="{D5CDD505-2E9C-101B-9397-08002B2CF9AE}" pid="6" name="k5c123a1611b43a0872a702638f2c0a4">
    <vt:lpwstr/>
  </property>
</Properties>
</file>